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Inputs" sheetId="2" state="visible" r:id="rId4"/>
    <sheet name="Rates" sheetId="3" state="visible" r:id="rId5"/>
    <sheet name="Quantities" sheetId="4" state="visible" r:id="rId6"/>
    <sheet name="Estimate" sheetId="5" state="visible" r:id="rId7"/>
  </sheets>
  <definedNames>
    <definedName name="_xlnm.Print_Area" localSheetId="0">'Read me'!$A$1:$A$19</definedName>
    <definedName name="_xlnm.Print_Area" localSheetId="1">'Inputs'!$A$1:$C$39</definedName>
    <definedName name="_xlnm.Print_Area" localSheetId="2">'Rates'!$A$1:$C$27</definedName>
    <definedName name="_xlnm.Print_Area" localSheetId="3">'Quantities'!$A$1:$D$36</definedName>
    <definedName name="_xlnm.Print_Titles" localSheetId="3">'Quantities'!$3:$3</definedName>
    <definedName name="_xlnm.Print_Area" localSheetId="4">'Estimate'!$A$1:$E$35</definedName>
    <definedName name="_xlnm.Print_Titles" localSheetId="4">'Estimate'!$4:$4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9" authorId="0">
      <text>
        <r>
          <rPr>
            <sz val="10"/>
            <rFont val="Arial"/>
            <family val="2"/>
          </rPr>
          <t xml:space="preserve">From the engineer's design</t>
        </r>
      </text>
    </comment>
    <comment ref="C14" authorId="0">
      <text>
        <r>
          <rPr>
            <sz val="10"/>
            <rFont val="Arial"/>
            <family val="2"/>
          </rPr>
          <t xml:space="preserve">e.g. 200UB18.2</t>
        </r>
      </text>
    </comment>
    <comment ref="C15" authorId="0">
      <text>
        <r>
          <rPr>
            <sz val="10"/>
            <rFont val="Arial"/>
            <family val="2"/>
          </rPr>
          <t xml:space="preserve">Allowance on primary steel mass</t>
        </r>
      </text>
    </comment>
    <comment ref="C17" authorId="0">
      <text>
        <r>
          <rPr>
            <sz val="10"/>
            <rFont val="Arial"/>
            <family val="2"/>
          </rPr>
          <t xml:space="preserve">Check the manufacturer's section table</t>
        </r>
      </text>
    </comment>
    <comment ref="C20" authorId="0">
      <text>
        <r>
          <rPr>
            <sz val="10"/>
            <rFont val="Arial"/>
            <family val="2"/>
          </rPr>
          <t xml:space="preserve">Check the manufacturer's section table</t>
        </r>
      </text>
    </comment>
  </commentList>
</comments>
</file>

<file path=xl/sharedStrings.xml><?xml version="1.0" encoding="utf-8"?>
<sst xmlns="http://schemas.openxmlformats.org/spreadsheetml/2006/main" count="248" uniqueCount="199">
  <si>
    <t xml:space="preserve">Steel portal frame shed – quantities and cost estimate</t>
  </si>
  <si>
    <t xml:space="preserve">What it does</t>
  </si>
  <si>
    <t xml:space="preserve">Takes off the quantities for a gable-roof steel portal frame shed (frames, end-wall columns, purlins, girts, roof and wall cladding, flashings, gutters, doors, slab, mesh and pad footings) and builds a cost estimate with contingency, margin and GST, plus cost per square metre.</t>
  </si>
  <si>
    <t xml:space="preserve">How to use</t>
  </si>
  <si>
    <t xml:space="preserve">1. 'Inputs': set the shed size, roof pitch, bay spacing, member sizes (mass per metre from your supplier's tables), purlin and girt spacing, doors and windows, slab and footing sizes.</t>
  </si>
  <si>
    <t xml:space="preserve">2. 'Rates': replace the example rates with current supplier and subcontractor quotes for your area. All rates are in AUD excluding GST.</t>
  </si>
  <si>
    <t xml:space="preserve">3. 'Quantities' and 'Estimate' update automatically. Print or export the Estimate sheet for the client.</t>
  </si>
  <si>
    <t xml:space="preserve">Important</t>
  </si>
  <si>
    <t xml:space="preserve">Member sizes, footing sizes and slab thickness must come from the structural engineer's design for the site wind region, terrain category and soil (AS/NZS 1170.2, AS 4100, AS 2870/AS 3600). The example rates are indicative placeholders, not current market prices.</t>
  </si>
  <si>
    <t xml:space="preserve">Quantity rules</t>
  </si>
  <si>
    <t xml:space="preserve">Bays = ROUNDUP(length / max bay spacing). Rafter length = (span/2)/cos(pitch). Purlin rows per roof side = ROUNDUP(rafter length / max spacing) + 1. Girt rows = ROUNDUP(eave height / max spacing). Wall cladding = side walls + end walls including gables, less openings. Downpipes: one per 12 m of gutter, each side.</t>
  </si>
  <si>
    <t xml:space="preserve">Colour legend</t>
  </si>
  <si>
    <t xml:space="preserve">Blue text = input you can change</t>
  </si>
  <si>
    <t xml:space="preserve">Yellow fill = key assumption or design value to check</t>
  </si>
  <si>
    <t xml:space="preserve">Black text = formula; do not overwrite. Purple-tinted cells = main results</t>
  </si>
  <si>
    <t xml:space="preserve">Prepared by CivilWorks Atelier, Civil &amp; Geotechnical Engineer, Gold Coast QLD. Example values are illustrative, not from a real site. For learning and preliminary checks only: confirm against the current edition of the cited standard, and have results reviewed by a qualified engineer.</t>
  </si>
  <si>
    <t xml:space="preserve">Shed inputs</t>
  </si>
  <si>
    <t xml:space="preserve">Project / client</t>
  </si>
  <si>
    <t xml:space="preserve">Example shed – Gold Coast</t>
  </si>
  <si>
    <t xml:space="preserve">Span (width) W (m)</t>
  </si>
  <si>
    <t xml:space="preserve">Length L (m)</t>
  </si>
  <si>
    <t xml:space="preserve">Eave height H (m)</t>
  </si>
  <si>
    <t xml:space="preserve">Roof pitch (°)</t>
  </si>
  <si>
    <t xml:space="preserve">Maximum bay spacing (m)</t>
  </si>
  <si>
    <t xml:space="preserve">Portal column section</t>
  </si>
  <si>
    <t xml:space="preserve">250UB31.4</t>
  </si>
  <si>
    <t xml:space="preserve">Column mass (kg/m)</t>
  </si>
  <si>
    <t xml:space="preserve">Rafter section</t>
  </si>
  <si>
    <t xml:space="preserve">250UB25.7</t>
  </si>
  <si>
    <t xml:space="preserve">Rafter mass (kg/m)</t>
  </si>
  <si>
    <t xml:space="preserve">End-wall columns per end (excl. corners)</t>
  </si>
  <si>
    <t xml:space="preserve">End-wall column mass (kg/m)</t>
  </si>
  <si>
    <t xml:space="preserve">Connections, haunches, bracing allowance (%)</t>
  </si>
  <si>
    <t xml:space="preserve">Purlin section</t>
  </si>
  <si>
    <t xml:space="preserve">Z20019</t>
  </si>
  <si>
    <t xml:space="preserve">Purlin mass (kg/m)</t>
  </si>
  <si>
    <t xml:space="preserve">Max purlin spacing (m)</t>
  </si>
  <si>
    <t xml:space="preserve">Girt section</t>
  </si>
  <si>
    <t xml:space="preserve">Z15015</t>
  </si>
  <si>
    <t xml:space="preserve">Girt mass (kg/m)</t>
  </si>
  <si>
    <t xml:space="preserve">Max girt spacing (m)</t>
  </si>
  <si>
    <t xml:space="preserve">Purlin/girt lap allowance (%)</t>
  </si>
  <si>
    <t xml:space="preserve">Cladding waste and side lap allowance (%)</t>
  </si>
  <si>
    <t xml:space="preserve">Roller doors (number)</t>
  </si>
  <si>
    <t xml:space="preserve">Roller door width (m)</t>
  </si>
  <si>
    <t xml:space="preserve">Roller door height (m)</t>
  </si>
  <si>
    <t xml:space="preserve">Personal access doors (number)</t>
  </si>
  <si>
    <t xml:space="preserve">Windows (number)</t>
  </si>
  <si>
    <t xml:space="preserve">Window area each (m²)</t>
  </si>
  <si>
    <t xml:space="preserve">Slab thickness (m)</t>
  </si>
  <si>
    <t xml:space="preserve">Concrete waste (%)</t>
  </si>
  <si>
    <t xml:space="preserve">Mesh sheet area (m²), e.g. SL82 6 × 2.4</t>
  </si>
  <si>
    <t xml:space="preserve">Mesh lap allowance (%)</t>
  </si>
  <si>
    <t xml:space="preserve">Portal pad footing L × B × D (m)</t>
  </si>
  <si>
    <t xml:space="preserve">0.9 × 0.9 × 0.9</t>
  </si>
  <si>
    <t xml:space="preserve">Portal pad length (m)</t>
  </si>
  <si>
    <t xml:space="preserve">Portal pad width (m)</t>
  </si>
  <si>
    <t xml:space="preserve">Portal pad depth (m)</t>
  </si>
  <si>
    <t xml:space="preserve">End-wall pad size, square (m)</t>
  </si>
  <si>
    <t xml:space="preserve">End-wall pad depth (m)</t>
  </si>
  <si>
    <t xml:space="preserve">Rates (AUD, excluding GST) – example values, replace with current quotes</t>
  </si>
  <si>
    <t xml:space="preserve">Structural steel, supplied, fabricated, galvanised ($/t)</t>
  </si>
  <si>
    <t xml:space="preserve">Purlins ($/m)</t>
  </si>
  <si>
    <t xml:space="preserve">Girts ($/m)</t>
  </si>
  <si>
    <t xml:space="preserve">Roof sheeting, pre-painted ($/m²)</t>
  </si>
  <si>
    <t xml:space="preserve">Wall cladding, pre-painted ($/m²)</t>
  </si>
  <si>
    <t xml:space="preserve">Flashings and cappings ($/m)</t>
  </si>
  <si>
    <t xml:space="preserve">Quad gutter ($/m)</t>
  </si>
  <si>
    <t xml:space="preserve">Downpipes, each</t>
  </si>
  <si>
    <t xml:space="preserve">Roller door, supplied and installed, each</t>
  </si>
  <si>
    <t xml:space="preserve">Personal access door, each</t>
  </si>
  <si>
    <t xml:space="preserve">Window, each</t>
  </si>
  <si>
    <t xml:space="preserve">Fasteners, sealants, sundries (% of cladding)</t>
  </si>
  <si>
    <t xml:space="preserve">Concrete, delivered ($/m³)</t>
  </si>
  <si>
    <t xml:space="preserve">Mesh sheet, each</t>
  </si>
  <si>
    <t xml:space="preserve">Slab placing, finishing, pump ($/m² of slab)</t>
  </si>
  <si>
    <t xml:space="preserve">Footing excavation and disposal ($/m³)</t>
  </si>
  <si>
    <t xml:space="preserve">Site preparation and set-out ($/m² of floor)</t>
  </si>
  <si>
    <t xml:space="preserve">Steel and cladding erection labour ($/m² of floor)</t>
  </si>
  <si>
    <t xml:space="preserve">Crane or EWP hire ($/day)</t>
  </si>
  <si>
    <t xml:space="preserve">Crane days</t>
  </si>
  <si>
    <t xml:space="preserve">Engineering and certification (lump sum)</t>
  </si>
  <si>
    <t xml:space="preserve">Council / building approval (lump sum)</t>
  </si>
  <si>
    <t xml:space="preserve">Contingency (%)</t>
  </si>
  <si>
    <t xml:space="preserve">Builder's margin (%)</t>
  </si>
  <si>
    <t xml:space="preserve">GST (%)</t>
  </si>
  <si>
    <t xml:space="preserve">Quantity take-off</t>
  </si>
  <si>
    <t xml:space="preserve">Item</t>
  </si>
  <si>
    <t xml:space="preserve">Formula basis</t>
  </si>
  <si>
    <t xml:space="preserve">Quantity</t>
  </si>
  <si>
    <t xml:space="preserve">Unit</t>
  </si>
  <si>
    <t xml:space="preserve">Roof rise (m)</t>
  </si>
  <si>
    <t xml:space="preserve">W/2 × tan(pitch)</t>
  </si>
  <si>
    <t xml:space="preserve">m</t>
  </si>
  <si>
    <t xml:space="preserve">Rafter length per side (m)</t>
  </si>
  <si>
    <t xml:space="preserve">(W/2)/cos(pitch)</t>
  </si>
  <si>
    <t xml:space="preserve">Apex height (m)</t>
  </si>
  <si>
    <t xml:space="preserve">H + rise</t>
  </si>
  <si>
    <t xml:space="preserve">Number of bays</t>
  </si>
  <si>
    <t xml:space="preserve">ROUNDUP(L / max bay)</t>
  </si>
  <si>
    <t xml:space="preserve">no.</t>
  </si>
  <si>
    <t xml:space="preserve">Actual bay spacing (m)</t>
  </si>
  <si>
    <t xml:space="preserve">L / bays</t>
  </si>
  <si>
    <t xml:space="preserve">Portal frames</t>
  </si>
  <si>
    <t xml:space="preserve">bays + 1</t>
  </si>
  <si>
    <t xml:space="preserve">Portal columns</t>
  </si>
  <si>
    <t xml:space="preserve">2 per frame</t>
  </si>
  <si>
    <t xml:space="preserve">Column steel (kg)</t>
  </si>
  <si>
    <t xml:space="preserve">columns × H × kg/m</t>
  </si>
  <si>
    <t xml:space="preserve">kg</t>
  </si>
  <si>
    <t xml:space="preserve">Rafter steel (kg)</t>
  </si>
  <si>
    <t xml:space="preserve">frames × 2 × rafter × kg/m</t>
  </si>
  <si>
    <t xml:space="preserve">End-wall columns</t>
  </si>
  <si>
    <t xml:space="preserve">2 ends × number</t>
  </si>
  <si>
    <t xml:space="preserve">End-wall column steel (kg)</t>
  </si>
  <si>
    <t xml:space="preserve">number × (H + rise/2) × kg/m</t>
  </si>
  <si>
    <t xml:space="preserve">Connections, haunches, bracing (kg)</t>
  </si>
  <si>
    <t xml:space="preserve">allowance % × primary steel</t>
  </si>
  <si>
    <t xml:space="preserve">Total structural steel (t)</t>
  </si>
  <si>
    <t xml:space="preserve">sum / 1000</t>
  </si>
  <si>
    <t xml:space="preserve">t</t>
  </si>
  <si>
    <t xml:space="preserve">Purlin rows per roof side</t>
  </si>
  <si>
    <t xml:space="preserve">ROUNDUP(rafter / spacing) + 1</t>
  </si>
  <si>
    <t xml:space="preserve">Purlins (m)</t>
  </si>
  <si>
    <t xml:space="preserve">2 sides × rows × L × (1 + lap)</t>
  </si>
  <si>
    <t xml:space="preserve">Purlin mass (kg)</t>
  </si>
  <si>
    <t xml:space="preserve">m × kg/m</t>
  </si>
  <si>
    <t xml:space="preserve">Girt rows per wall</t>
  </si>
  <si>
    <t xml:space="preserve">ROUNDUP(H / spacing)</t>
  </si>
  <si>
    <t xml:space="preserve">Girts (m)</t>
  </si>
  <si>
    <t xml:space="preserve">rows × perimeter × (1 + lap)</t>
  </si>
  <si>
    <t xml:space="preserve">Girt mass (kg)</t>
  </si>
  <si>
    <t xml:space="preserve">Roof cladding (m²)</t>
  </si>
  <si>
    <t xml:space="preserve">2 × rafter × L × (1 + waste)</t>
  </si>
  <si>
    <t xml:space="preserve">m²</t>
  </si>
  <si>
    <t xml:space="preserve">Wall area, gross (m²)</t>
  </si>
  <si>
    <t xml:space="preserve">2·L·H + 2·(W·H + W·rise/2)</t>
  </si>
  <si>
    <t xml:space="preserve">Openings (m²)</t>
  </si>
  <si>
    <t xml:space="preserve">doors + windows</t>
  </si>
  <si>
    <t xml:space="preserve">Wall cladding (m²)</t>
  </si>
  <si>
    <t xml:space="preserve">(gross − openings) × (1 + waste)</t>
  </si>
  <si>
    <t xml:space="preserve">Ridge capping (m)</t>
  </si>
  <si>
    <t xml:space="preserve">L</t>
  </si>
  <si>
    <t xml:space="preserve">Barge flashings (m)</t>
  </si>
  <si>
    <t xml:space="preserve">4 × rafter</t>
  </si>
  <si>
    <t xml:space="preserve">Corner and door flashings (m)</t>
  </si>
  <si>
    <t xml:space="preserve">4 × H + door jambs and heads</t>
  </si>
  <si>
    <t xml:space="preserve">Gutter (m)</t>
  </si>
  <si>
    <t xml:space="preserve">2 × L</t>
  </si>
  <si>
    <t xml:space="preserve">Downpipes</t>
  </si>
  <si>
    <t xml:space="preserve">2 × ROUNDUP(L/12)</t>
  </si>
  <si>
    <t xml:space="preserve">Floor area (m²)</t>
  </si>
  <si>
    <t xml:space="preserve">W × L</t>
  </si>
  <si>
    <t xml:space="preserve">Slab concrete (m³)</t>
  </si>
  <si>
    <t xml:space="preserve">area × thickness × (1 + waste)</t>
  </si>
  <si>
    <t xml:space="preserve">m³</t>
  </si>
  <si>
    <t xml:space="preserve">Mesh sheets</t>
  </si>
  <si>
    <t xml:space="preserve">ROUNDUP(area × (1 + lap) / sheet)</t>
  </si>
  <si>
    <t xml:space="preserve">Portal pad footings</t>
  </si>
  <si>
    <t xml:space="preserve">one per column</t>
  </si>
  <si>
    <t xml:space="preserve">Footing concrete and excavation (m³)</t>
  </si>
  <si>
    <t xml:space="preserve">pads × L × B × D</t>
  </si>
  <si>
    <t xml:space="preserve">Cost estimate</t>
  </si>
  <si>
    <t xml:space="preserve">Trade / item</t>
  </si>
  <si>
    <t xml:space="preserve">Rate ($)</t>
  </si>
  <si>
    <t xml:space="preserve">Amount ($)</t>
  </si>
  <si>
    <t xml:space="preserve">Site preparation and set-out</t>
  </si>
  <si>
    <t xml:space="preserve">Footing excavation</t>
  </si>
  <si>
    <t xml:space="preserve">Footing concrete</t>
  </si>
  <si>
    <t xml:space="preserve">Slab concrete</t>
  </si>
  <si>
    <t xml:space="preserve">Slab mesh</t>
  </si>
  <si>
    <t xml:space="preserve">sheets</t>
  </si>
  <si>
    <t xml:space="preserve">Slab placing, finishing, pump</t>
  </si>
  <si>
    <t xml:space="preserve">Structural steel (frames, end-wall columns, connections)</t>
  </si>
  <si>
    <t xml:space="preserve">Purlins</t>
  </si>
  <si>
    <t xml:space="preserve">Girts</t>
  </si>
  <si>
    <t xml:space="preserve">Roof sheeting</t>
  </si>
  <si>
    <t xml:space="preserve">Wall cladding</t>
  </si>
  <si>
    <t xml:space="preserve">Ridge, barge, corner and door flashings</t>
  </si>
  <si>
    <t xml:space="preserve">Gutters</t>
  </si>
  <si>
    <t xml:space="preserve">Fasteners, sealants, sundries</t>
  </si>
  <si>
    <t xml:space="preserve">$</t>
  </si>
  <si>
    <t xml:space="preserve">Roller doors</t>
  </si>
  <si>
    <t xml:space="preserve">Personal access doors</t>
  </si>
  <si>
    <t xml:space="preserve">Windows</t>
  </si>
  <si>
    <t xml:space="preserve">Erection labour (steel and cladding)</t>
  </si>
  <si>
    <t xml:space="preserve">Crane / EWP hire</t>
  </si>
  <si>
    <t xml:space="preserve">days</t>
  </si>
  <si>
    <t xml:space="preserve">Engineering and certification</t>
  </si>
  <si>
    <t xml:space="preserve">item</t>
  </si>
  <si>
    <t xml:space="preserve">Council / building approval</t>
  </si>
  <si>
    <t xml:space="preserve">Subtotal (direct costs)</t>
  </si>
  <si>
    <t xml:space="preserve">Contingency</t>
  </si>
  <si>
    <t xml:space="preserve">Builder's margin</t>
  </si>
  <si>
    <t xml:space="preserve">Total excluding GST</t>
  </si>
  <si>
    <t xml:space="preserve">GST</t>
  </si>
  <si>
    <t xml:space="preserve">Total including GST</t>
  </si>
  <si>
    <t xml:space="preserve">Cost per m² of floor, incl. GST</t>
  </si>
  <si>
    <t xml:space="preserve">Structural steel rate check (kg/m² of floor)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</si>
</sst>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@"/>
    <numFmt numFmtId="166" formatCode="0.00"/>
    <numFmt numFmtId="167" formatCode="0.0"/>
    <numFmt numFmtId="168" formatCode="0"/>
    <numFmt numFmtId="169" formatCode="0.000"/>
    <numFmt numFmtId="170" formatCode="\$#,##0"/>
    <numFmt numFmtId="171" formatCode="\$#,##0.00"/>
    <numFmt numFmtId="172" formatCode="#,##0"/>
    <numFmt numFmtId="173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5531C2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6A6480"/>
      <name val="Arial"/>
      <family val="0"/>
      <charset val="1"/>
    </font>
    <font>
      <sz val="10"/>
      <name val="Arial"/>
      <family val="2"/>
    </font>
    <font>
      <b val="true"/>
      <sz val="11"/>
      <color rgb="FFFFFFFF"/>
      <name val="Arial"/>
      <family val="0"/>
      <charset val="1"/>
    </font>
    <font>
      <sz val="11"/>
      <color rgb="FF6A6480"/>
      <name val="Arial"/>
      <family val="0"/>
      <charset val="1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6A3FD8"/>
        <bgColor rgb="FF5531C2"/>
      </patternFill>
    </fill>
    <fill>
      <patternFill patternType="solid">
        <fgColor rgb="FFF1EC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5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6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5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7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6" fillId="2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6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8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5"/>
      <rgbColor rgb="FF808080"/>
      <rgbColor rgb="FF9999FF"/>
      <rgbColor rgb="FF993366"/>
      <rgbColor rgb="FFF1ECF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A3FD8"/>
      <rgbColor rgb="FF33CCCC"/>
      <rgbColor rgb="FF99CC00"/>
      <rgbColor rgb="FFFFCC00"/>
      <rgbColor rgb="FFFF9900"/>
      <rgbColor rgb="FFFF6600"/>
      <rgbColor rgb="FF6A6480"/>
      <rgbColor rgb="FF969696"/>
      <rgbColor rgb="FF003366"/>
      <rgbColor rgb="FF339966"/>
      <rgbColor rgb="FF003300"/>
      <rgbColor rgb="FF333300"/>
      <rgbColor rgb="FF993300"/>
      <rgbColor rgb="FF993366"/>
      <rgbColor rgb="FF5531C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92" customWidth="1"/>
  </cols>
  <sheetData>
    <row r="1" customFormat="false" ht="17.35" hidden="false" customHeight="false" outlineLevel="0" collapsed="false">
      <c r="A1" s="32" t="s">
        <v>0</v>
      </c>
    </row>
    <row r="3" customFormat="false" ht="15" hidden="false" customHeight="false" outlineLevel="0" collapsed="false">
      <c r="A3" s="33" t="s">
        <v>1</v>
      </c>
    </row>
    <row r="4" customFormat="false" ht="45" hidden="false" customHeight="true" outlineLevel="0" collapsed="false">
      <c r="A4" s="34" t="s">
        <v>2</v>
      </c>
    </row>
    <row r="5" customFormat="false" ht="15" hidden="false" customHeight="false" outlineLevel="0" collapsed="false">
      <c r="A5" s="33" t="s">
        <v>3</v>
      </c>
    </row>
    <row r="6" customFormat="false" ht="30" hidden="false" customHeight="true" outlineLevel="0" collapsed="false">
      <c r="A6" s="34" t="s">
        <v>4</v>
      </c>
    </row>
    <row r="7" customFormat="false" ht="30" hidden="false" customHeight="true" outlineLevel="0" collapsed="false">
      <c r="A7" s="34" t="s">
        <v>5</v>
      </c>
    </row>
    <row r="8" customFormat="false" ht="15" hidden="false" customHeight="false" outlineLevel="0" collapsed="false">
      <c r="A8" s="34" t="s">
        <v>6</v>
      </c>
    </row>
    <row r="9" customFormat="false" ht="15" hidden="false" customHeight="false" outlineLevel="0" collapsed="false">
      <c r="A9" s="33" t="s">
        <v>7</v>
      </c>
    </row>
    <row r="10" customFormat="false" ht="45" hidden="false" customHeight="true" outlineLevel="0" collapsed="false">
      <c r="A10" s="34" t="s">
        <v>8</v>
      </c>
    </row>
    <row r="11" customFormat="false" ht="15" hidden="false" customHeight="false" outlineLevel="0" collapsed="false">
      <c r="A11" s="33" t="s">
        <v>9</v>
      </c>
    </row>
    <row r="12" customFormat="false" ht="45" hidden="false" customHeight="true" outlineLevel="0" collapsed="false">
      <c r="A12" s="34" t="s">
        <v>10</v>
      </c>
    </row>
    <row r="14" customFormat="false" ht="15" hidden="false" customHeight="false" outlineLevel="0" collapsed="false">
      <c r="A14" s="35" t="s">
        <v>11</v>
      </c>
    </row>
    <row r="15" customFormat="false" ht="15" hidden="false" customHeight="false" outlineLevel="0" collapsed="false">
      <c r="A15" s="36" t="s">
        <v>12</v>
      </c>
    </row>
    <row r="16" customFormat="false" ht="15" hidden="false" customHeight="false" outlineLevel="0" collapsed="false">
      <c r="A16" s="37" t="s">
        <v>13</v>
      </c>
    </row>
    <row r="17" customFormat="false" ht="15" hidden="false" customHeight="false" outlineLevel="0" collapsed="false">
      <c r="A17" s="38" t="s">
        <v>14</v>
      </c>
    </row>
    <row r="19" customFormat="false" ht="31.5" hidden="false" customHeight="true" outlineLevel="0" collapsed="false">
      <c r="A19" s="39" t="s">
        <v>15</v>
      </c>
    </row>
  </sheetData>
  <printOptions horizontalCentered="1"/>
  <pageMargins left="0.5" right="0.5" top="0.8" bottom="0.75" header="0.3" footer="0.3"/>
  <pageSetup paperSize="9" orientation="portrait" fitToWidth="1" fitToHeight="1"/>
  <headerFooter>
    <oddHeader>&amp;L&amp;8&amp;K1F3A5FCIVILWORKS ATELIER&amp;C&amp;9&amp;BEstimate Steel Shed&amp;R&amp;8&amp;A</oddHeader>
    <oddFooter>&amp;L&amp;7Preliminary / educational — verify against current standards&amp;C&amp;8Page &amp;P of &amp;N&amp;R&amp;7Printed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C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"/>
    <col collapsed="false" customWidth="true" hidden="false" outlineLevel="0" max="3" min="3" style="0" width="26"/>
  </cols>
  <sheetData>
    <row r="1" customFormat="false" ht="17.35" hidden="false" customHeight="false" outlineLevel="0" collapsed="false">
      <c r="A1" s="1" t="s">
        <v>16</v>
      </c>
    </row>
    <row r="3" customFormat="false" ht="15" hidden="false" customHeight="false" outlineLevel="0" collapsed="false">
      <c r="A3" s="7" t="s">
        <v>17</v>
      </c>
      <c r="C3" s="9" t="s">
        <v>18</v>
      </c>
    </row>
    <row r="4" customFormat="false" ht="15" hidden="false" customHeight="false" outlineLevel="0" collapsed="false">
      <c r="A4" s="7" t="s">
        <v>19</v>
      </c>
      <c r="C4" s="10" t="n">
        <v>12</v>
      </c>
    </row>
    <row r="5" customFormat="false" ht="15" hidden="false" customHeight="false" outlineLevel="0" collapsed="false">
      <c r="A5" s="7" t="s">
        <v>20</v>
      </c>
      <c r="C5" s="10" t="n">
        <v>24</v>
      </c>
    </row>
    <row r="6" customFormat="false" ht="15" hidden="false" customHeight="false" outlineLevel="0" collapsed="false">
      <c r="A6" s="7" t="s">
        <v>21</v>
      </c>
      <c r="C6" s="10" t="n">
        <v>4.5</v>
      </c>
    </row>
    <row r="7" customFormat="false" ht="15" hidden="false" customHeight="false" outlineLevel="0" collapsed="false">
      <c r="A7" s="7" t="s">
        <v>22</v>
      </c>
      <c r="C7" s="11" t="n">
        <v>11</v>
      </c>
    </row>
    <row r="8" customFormat="false" ht="15" hidden="false" customHeight="false" outlineLevel="0" collapsed="false">
      <c r="A8" s="7" t="s">
        <v>23</v>
      </c>
      <c r="C8" s="10" t="n">
        <v>6</v>
      </c>
    </row>
    <row r="9" customFormat="false" ht="15" hidden="false" customHeight="false" outlineLevel="0" collapsed="false">
      <c r="A9" s="7" t="s">
        <v>24</v>
      </c>
      <c r="C9" s="12" t="s">
        <v>25</v>
      </c>
    </row>
    <row r="10" customFormat="false" ht="15" hidden="false" customHeight="false" outlineLevel="0" collapsed="false">
      <c r="A10" s="7" t="s">
        <v>26</v>
      </c>
      <c r="C10" s="11" t="n">
        <v>31.4</v>
      </c>
    </row>
    <row r="11" customFormat="false" ht="15" hidden="false" customHeight="false" outlineLevel="0" collapsed="false">
      <c r="A11" s="7" t="s">
        <v>27</v>
      </c>
      <c r="C11" s="12" t="s">
        <v>28</v>
      </c>
    </row>
    <row r="12" customFormat="false" ht="15" hidden="false" customHeight="false" outlineLevel="0" collapsed="false">
      <c r="A12" s="7" t="s">
        <v>29</v>
      </c>
      <c r="C12" s="11" t="n">
        <v>25.7</v>
      </c>
    </row>
    <row r="13" customFormat="false" ht="15" hidden="false" customHeight="false" outlineLevel="0" collapsed="false">
      <c r="A13" s="7" t="s">
        <v>30</v>
      </c>
      <c r="C13" s="13" t="n">
        <v>2</v>
      </c>
    </row>
    <row r="14" customFormat="false" ht="15" hidden="false" customHeight="false" outlineLevel="0" collapsed="false">
      <c r="A14" s="7" t="s">
        <v>31</v>
      </c>
      <c r="C14" s="11" t="n">
        <v>18.2</v>
      </c>
    </row>
    <row r="15" customFormat="false" ht="15" hidden="false" customHeight="false" outlineLevel="0" collapsed="false">
      <c r="A15" s="7" t="s">
        <v>32</v>
      </c>
      <c r="C15" s="14" t="n">
        <v>12</v>
      </c>
    </row>
    <row r="16" customFormat="false" ht="15" hidden="false" customHeight="false" outlineLevel="0" collapsed="false">
      <c r="A16" s="7" t="s">
        <v>33</v>
      </c>
      <c r="C16" s="12" t="s">
        <v>34</v>
      </c>
    </row>
    <row r="17" customFormat="false" ht="15" hidden="false" customHeight="false" outlineLevel="0" collapsed="false">
      <c r="A17" s="7" t="s">
        <v>35</v>
      </c>
      <c r="C17" s="10" t="n">
        <v>5.2</v>
      </c>
    </row>
    <row r="18" customFormat="false" ht="15" hidden="false" customHeight="false" outlineLevel="0" collapsed="false">
      <c r="A18" s="7" t="s">
        <v>36</v>
      </c>
      <c r="C18" s="10" t="n">
        <v>1.2</v>
      </c>
    </row>
    <row r="19" customFormat="false" ht="15" hidden="false" customHeight="false" outlineLevel="0" collapsed="false">
      <c r="A19" s="7" t="s">
        <v>37</v>
      </c>
      <c r="C19" s="12" t="s">
        <v>38</v>
      </c>
    </row>
    <row r="20" customFormat="false" ht="15" hidden="false" customHeight="false" outlineLevel="0" collapsed="false">
      <c r="A20" s="7" t="s">
        <v>39</v>
      </c>
      <c r="C20" s="10" t="n">
        <v>3.4</v>
      </c>
    </row>
    <row r="21" customFormat="false" ht="15" hidden="false" customHeight="false" outlineLevel="0" collapsed="false">
      <c r="A21" s="7" t="s">
        <v>40</v>
      </c>
      <c r="C21" s="10" t="n">
        <v>1.5</v>
      </c>
    </row>
    <row r="22" customFormat="false" ht="15" hidden="false" customHeight="false" outlineLevel="0" collapsed="false">
      <c r="A22" s="7" t="s">
        <v>41</v>
      </c>
      <c r="C22" s="14" t="n">
        <v>5</v>
      </c>
    </row>
    <row r="23" customFormat="false" ht="15" hidden="false" customHeight="false" outlineLevel="0" collapsed="false">
      <c r="A23" s="7" t="s">
        <v>42</v>
      </c>
      <c r="C23" s="14" t="n">
        <v>8</v>
      </c>
    </row>
    <row r="24" customFormat="false" ht="15" hidden="false" customHeight="false" outlineLevel="0" collapsed="false">
      <c r="A24" s="7" t="s">
        <v>43</v>
      </c>
      <c r="C24" s="13" t="n">
        <v>2</v>
      </c>
    </row>
    <row r="25" customFormat="false" ht="15" hidden="false" customHeight="false" outlineLevel="0" collapsed="false">
      <c r="A25" s="7" t="s">
        <v>44</v>
      </c>
      <c r="C25" s="15" t="n">
        <v>4</v>
      </c>
    </row>
    <row r="26" customFormat="false" ht="15" hidden="false" customHeight="false" outlineLevel="0" collapsed="false">
      <c r="A26" s="7" t="s">
        <v>45</v>
      </c>
      <c r="C26" s="15" t="n">
        <v>4</v>
      </c>
    </row>
    <row r="27" customFormat="false" ht="15" hidden="false" customHeight="false" outlineLevel="0" collapsed="false">
      <c r="A27" s="7" t="s">
        <v>46</v>
      </c>
      <c r="C27" s="14" t="n">
        <v>1</v>
      </c>
    </row>
    <row r="28" customFormat="false" ht="15" hidden="false" customHeight="false" outlineLevel="0" collapsed="false">
      <c r="A28" s="7" t="s">
        <v>47</v>
      </c>
      <c r="C28" s="14" t="n">
        <v>2</v>
      </c>
    </row>
    <row r="29" customFormat="false" ht="15" hidden="false" customHeight="false" outlineLevel="0" collapsed="false">
      <c r="A29" s="7" t="s">
        <v>48</v>
      </c>
      <c r="C29" s="16" t="n">
        <v>1.08</v>
      </c>
    </row>
    <row r="30" customFormat="false" ht="15" hidden="false" customHeight="false" outlineLevel="0" collapsed="false">
      <c r="A30" s="7" t="s">
        <v>49</v>
      </c>
      <c r="C30" s="17" t="n">
        <v>0.125</v>
      </c>
    </row>
    <row r="31" customFormat="false" ht="15" hidden="false" customHeight="false" outlineLevel="0" collapsed="false">
      <c r="A31" s="7" t="s">
        <v>50</v>
      </c>
      <c r="C31" s="14" t="n">
        <v>5</v>
      </c>
    </row>
    <row r="32" customFormat="false" ht="15" hidden="false" customHeight="false" outlineLevel="0" collapsed="false">
      <c r="A32" s="7" t="s">
        <v>51</v>
      </c>
      <c r="C32" s="15" t="n">
        <v>14.4</v>
      </c>
    </row>
    <row r="33" customFormat="false" ht="15" hidden="false" customHeight="false" outlineLevel="0" collapsed="false">
      <c r="A33" s="7" t="s">
        <v>52</v>
      </c>
      <c r="C33" s="14" t="n">
        <v>10</v>
      </c>
    </row>
    <row r="34" customFormat="false" ht="15" hidden="false" customHeight="false" outlineLevel="0" collapsed="false">
      <c r="A34" s="7" t="s">
        <v>53</v>
      </c>
      <c r="C34" s="9" t="s">
        <v>54</v>
      </c>
    </row>
    <row r="35" customFormat="false" ht="15" hidden="false" customHeight="false" outlineLevel="0" collapsed="false">
      <c r="A35" s="7" t="s">
        <v>55</v>
      </c>
      <c r="C35" s="10" t="n">
        <v>0.9</v>
      </c>
    </row>
    <row r="36" customFormat="false" ht="15" hidden="false" customHeight="false" outlineLevel="0" collapsed="false">
      <c r="A36" s="7" t="s">
        <v>56</v>
      </c>
      <c r="C36" s="10" t="n">
        <v>0.9</v>
      </c>
    </row>
    <row r="37" customFormat="false" ht="15" hidden="false" customHeight="false" outlineLevel="0" collapsed="false">
      <c r="A37" s="7" t="s">
        <v>57</v>
      </c>
      <c r="C37" s="10" t="n">
        <v>0.9</v>
      </c>
    </row>
    <row r="38" customFormat="false" ht="15" hidden="false" customHeight="false" outlineLevel="0" collapsed="false">
      <c r="A38" s="7" t="s">
        <v>58</v>
      </c>
      <c r="C38" s="16" t="n">
        <v>0.6</v>
      </c>
    </row>
    <row r="39" customFormat="false" ht="15" hidden="false" customHeight="false" outlineLevel="0" collapsed="false">
      <c r="A39" s="7" t="s">
        <v>59</v>
      </c>
      <c r="C39" s="16" t="n">
        <v>0.6</v>
      </c>
    </row>
  </sheetData>
  <printOptions horizontalCentered="1"/>
  <pageMargins left="0.5" right="0.5" top="0.8" bottom="0.75" header="0.3" footer="0.3"/>
  <pageSetup paperSize="9" orientation="portrait" fitToWidth="1" fitToHeight="1"/>
  <headerFooter>
    <oddHeader>&amp;L&amp;8&amp;K1F3A5FCIVILWORKS ATELIER&amp;C&amp;9&amp;BEstimate Steel Shed&amp;R&amp;8&amp;A</oddHeader>
    <oddFooter>&amp;L&amp;7Preliminary / educational — verify against current standards&amp;C&amp;8Page &amp;P of &amp;N&amp;R&amp;7Printed 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C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"/>
    <col collapsed="false" customWidth="true" hidden="false" outlineLevel="0" max="3" min="3" style="0" width="14"/>
  </cols>
  <sheetData>
    <row r="1" customFormat="false" ht="17.35" hidden="false" customHeight="false" outlineLevel="0" collapsed="false">
      <c r="A1" s="1" t="s">
        <v>60</v>
      </c>
    </row>
    <row r="3" customFormat="false" ht="15" hidden="false" customHeight="false" outlineLevel="0" collapsed="false">
      <c r="A3" s="7" t="s">
        <v>61</v>
      </c>
      <c r="C3" s="18" t="n">
        <v>6000</v>
      </c>
    </row>
    <row r="4" customFormat="false" ht="15" hidden="false" customHeight="false" outlineLevel="0" collapsed="false">
      <c r="A4" s="7" t="s">
        <v>62</v>
      </c>
      <c r="C4" s="19" t="n">
        <v>19</v>
      </c>
    </row>
    <row r="5" customFormat="false" ht="15" hidden="false" customHeight="false" outlineLevel="0" collapsed="false">
      <c r="A5" s="7" t="s">
        <v>63</v>
      </c>
      <c r="C5" s="19" t="n">
        <v>14</v>
      </c>
    </row>
    <row r="6" customFormat="false" ht="15" hidden="false" customHeight="false" outlineLevel="0" collapsed="false">
      <c r="A6" s="7" t="s">
        <v>64</v>
      </c>
      <c r="C6" s="19" t="n">
        <v>30</v>
      </c>
    </row>
    <row r="7" customFormat="false" ht="15" hidden="false" customHeight="false" outlineLevel="0" collapsed="false">
      <c r="A7" s="7" t="s">
        <v>65</v>
      </c>
      <c r="C7" s="19" t="n">
        <v>27</v>
      </c>
    </row>
    <row r="8" customFormat="false" ht="15" hidden="false" customHeight="false" outlineLevel="0" collapsed="false">
      <c r="A8" s="7" t="s">
        <v>66</v>
      </c>
      <c r="C8" s="19" t="n">
        <v>18</v>
      </c>
    </row>
    <row r="9" customFormat="false" ht="15" hidden="false" customHeight="false" outlineLevel="0" collapsed="false">
      <c r="A9" s="7" t="s">
        <v>67</v>
      </c>
      <c r="C9" s="19" t="n">
        <v>32</v>
      </c>
    </row>
    <row r="10" customFormat="false" ht="15" hidden="false" customHeight="false" outlineLevel="0" collapsed="false">
      <c r="A10" s="7" t="s">
        <v>68</v>
      </c>
      <c r="C10" s="18" t="n">
        <v>140</v>
      </c>
    </row>
    <row r="11" customFormat="false" ht="15" hidden="false" customHeight="false" outlineLevel="0" collapsed="false">
      <c r="A11" s="7" t="s">
        <v>69</v>
      </c>
      <c r="C11" s="18" t="n">
        <v>3400</v>
      </c>
    </row>
    <row r="12" customFormat="false" ht="15" hidden="false" customHeight="false" outlineLevel="0" collapsed="false">
      <c r="A12" s="7" t="s">
        <v>70</v>
      </c>
      <c r="C12" s="18" t="n">
        <v>1250</v>
      </c>
    </row>
    <row r="13" customFormat="false" ht="15" hidden="false" customHeight="false" outlineLevel="0" collapsed="false">
      <c r="A13" s="7" t="s">
        <v>71</v>
      </c>
      <c r="C13" s="18" t="n">
        <v>680</v>
      </c>
    </row>
    <row r="14" customFormat="false" ht="15" hidden="false" customHeight="false" outlineLevel="0" collapsed="false">
      <c r="A14" s="7" t="s">
        <v>72</v>
      </c>
      <c r="C14" s="14" t="n">
        <v>6</v>
      </c>
    </row>
    <row r="15" customFormat="false" ht="15" hidden="false" customHeight="false" outlineLevel="0" collapsed="false">
      <c r="A15" s="7" t="s">
        <v>73</v>
      </c>
      <c r="C15" s="18" t="n">
        <v>310</v>
      </c>
    </row>
    <row r="16" customFormat="false" ht="15" hidden="false" customHeight="false" outlineLevel="0" collapsed="false">
      <c r="A16" s="7" t="s">
        <v>74</v>
      </c>
      <c r="C16" s="18" t="n">
        <v>98</v>
      </c>
    </row>
    <row r="17" customFormat="false" ht="15" hidden="false" customHeight="false" outlineLevel="0" collapsed="false">
      <c r="A17" s="7" t="s">
        <v>75</v>
      </c>
      <c r="C17" s="19" t="n">
        <v>38</v>
      </c>
    </row>
    <row r="18" customFormat="false" ht="15" hidden="false" customHeight="false" outlineLevel="0" collapsed="false">
      <c r="A18" s="7" t="s">
        <v>76</v>
      </c>
      <c r="C18" s="18" t="n">
        <v>140</v>
      </c>
    </row>
    <row r="19" customFormat="false" ht="15" hidden="false" customHeight="false" outlineLevel="0" collapsed="false">
      <c r="A19" s="7" t="s">
        <v>77</v>
      </c>
      <c r="C19" s="19" t="n">
        <v>15</v>
      </c>
    </row>
    <row r="20" customFormat="false" ht="15" hidden="false" customHeight="false" outlineLevel="0" collapsed="false">
      <c r="A20" s="7" t="s">
        <v>78</v>
      </c>
      <c r="C20" s="19" t="n">
        <v>48</v>
      </c>
    </row>
    <row r="21" customFormat="false" ht="15" hidden="false" customHeight="false" outlineLevel="0" collapsed="false">
      <c r="A21" s="7" t="s">
        <v>79</v>
      </c>
      <c r="C21" s="18" t="n">
        <v>1900</v>
      </c>
    </row>
    <row r="22" customFormat="false" ht="15" hidden="false" customHeight="false" outlineLevel="0" collapsed="false">
      <c r="A22" s="7" t="s">
        <v>80</v>
      </c>
      <c r="C22" s="14" t="n">
        <v>2</v>
      </c>
    </row>
    <row r="23" customFormat="false" ht="15" hidden="false" customHeight="false" outlineLevel="0" collapsed="false">
      <c r="A23" s="7" t="s">
        <v>81</v>
      </c>
      <c r="C23" s="18" t="n">
        <v>4800</v>
      </c>
    </row>
    <row r="24" customFormat="false" ht="15" hidden="false" customHeight="false" outlineLevel="0" collapsed="false">
      <c r="A24" s="7" t="s">
        <v>82</v>
      </c>
      <c r="C24" s="18" t="n">
        <v>2600</v>
      </c>
    </row>
    <row r="25" customFormat="false" ht="15" hidden="false" customHeight="false" outlineLevel="0" collapsed="false">
      <c r="A25" s="7" t="s">
        <v>83</v>
      </c>
      <c r="C25" s="14" t="n">
        <v>10</v>
      </c>
    </row>
    <row r="26" customFormat="false" ht="15" hidden="false" customHeight="false" outlineLevel="0" collapsed="false">
      <c r="A26" s="7" t="s">
        <v>84</v>
      </c>
      <c r="C26" s="14" t="n">
        <v>15</v>
      </c>
    </row>
    <row r="27" customFormat="false" ht="15" hidden="false" customHeight="false" outlineLevel="0" collapsed="false">
      <c r="A27" s="7" t="s">
        <v>85</v>
      </c>
      <c r="C27" s="14" t="n">
        <v>10</v>
      </c>
    </row>
  </sheetData>
  <printOptions horizontalCentered="1"/>
  <pageMargins left="0.5" right="0.5" top="0.8" bottom="0.75" header="0.3" footer="0.3"/>
  <pageSetup paperSize="9" orientation="portrait" fitToWidth="1" fitToHeight="1"/>
  <headerFooter>
    <oddHeader>&amp;L&amp;8&amp;K1F3A5FCIVILWORKS ATELIER&amp;C&amp;9&amp;BEstimate Steel Shed&amp;R&amp;8&amp;A</oddHeader>
    <oddFooter>&amp;L&amp;7Preliminary / educational — verify against current standards&amp;C&amp;8Page &amp;P of &amp;N&amp;R&amp;7Printed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D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3" topLeftCell="A4" activePane="bottomLeft" state="frozen"/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4" min="4" style="0" width="8"/>
  </cols>
  <sheetData>
    <row r="1" customFormat="false" ht="17.35" hidden="false" customHeight="false" outlineLevel="0" collapsed="false">
      <c r="A1" s="1" t="s">
        <v>86</v>
      </c>
    </row>
    <row r="3" customFormat="false" ht="36" hidden="false" customHeight="true" outlineLevel="0" collapsed="false">
      <c r="A3" s="20" t="s">
        <v>87</v>
      </c>
      <c r="B3" s="20" t="s">
        <v>88</v>
      </c>
      <c r="C3" s="20" t="s">
        <v>89</v>
      </c>
      <c r="D3" s="20" t="s">
        <v>90</v>
      </c>
    </row>
    <row r="4" customFormat="false" ht="15" hidden="false" customHeight="false" outlineLevel="0" collapsed="false">
      <c r="A4" s="7" t="s">
        <v>91</v>
      </c>
      <c r="B4" s="21" t="s">
        <v>92</v>
      </c>
      <c r="C4" s="22" t="n">
        <f aca="false">Inputs!$C$4/2*TAN(RADIANS(Inputs!$C$7))</f>
        <v>1.16628185482631</v>
      </c>
      <c r="D4" s="7" t="s">
        <v>93</v>
      </c>
    </row>
    <row r="5" customFormat="false" ht="15" hidden="false" customHeight="false" outlineLevel="0" collapsed="false">
      <c r="A5" s="7" t="s">
        <v>94</v>
      </c>
      <c r="B5" s="21" t="s">
        <v>95</v>
      </c>
      <c r="C5" s="22" t="n">
        <f aca="false">Inputs!$C$4/2/COS(RADIANS(Inputs!$C$7))</f>
        <v>6.11230016973129</v>
      </c>
      <c r="D5" s="7" t="s">
        <v>93</v>
      </c>
    </row>
    <row r="6" customFormat="false" ht="15" hidden="false" customHeight="false" outlineLevel="0" collapsed="false">
      <c r="A6" s="7" t="s">
        <v>96</v>
      </c>
      <c r="B6" s="21" t="s">
        <v>97</v>
      </c>
      <c r="C6" s="22" t="n">
        <f aca="false">Inputs!$C$6+C4</f>
        <v>5.66628185482631</v>
      </c>
      <c r="D6" s="7" t="s">
        <v>93</v>
      </c>
    </row>
    <row r="7" customFormat="false" ht="15" hidden="false" customHeight="false" outlineLevel="0" collapsed="false">
      <c r="A7" s="7" t="s">
        <v>98</v>
      </c>
      <c r="B7" s="21" t="s">
        <v>99</v>
      </c>
      <c r="C7" s="23" t="n">
        <f aca="false">ROUNDUP(Inputs!$C$5/Inputs!$C$8,0)</f>
        <v>4</v>
      </c>
      <c r="D7" s="7" t="s">
        <v>100</v>
      </c>
    </row>
    <row r="8" customFormat="false" ht="15" hidden="false" customHeight="false" outlineLevel="0" collapsed="false">
      <c r="A8" s="7" t="s">
        <v>101</v>
      </c>
      <c r="B8" s="21" t="s">
        <v>102</v>
      </c>
      <c r="C8" s="22" t="n">
        <f aca="false">Inputs!$C$5/C7</f>
        <v>6</v>
      </c>
      <c r="D8" s="7" t="s">
        <v>93</v>
      </c>
    </row>
    <row r="9" customFormat="false" ht="15" hidden="false" customHeight="false" outlineLevel="0" collapsed="false">
      <c r="A9" s="7" t="s">
        <v>103</v>
      </c>
      <c r="B9" s="21" t="s">
        <v>104</v>
      </c>
      <c r="C9" s="23" t="n">
        <f aca="false">C7+1</f>
        <v>5</v>
      </c>
      <c r="D9" s="7" t="s">
        <v>100</v>
      </c>
    </row>
    <row r="10" customFormat="false" ht="15" hidden="false" customHeight="false" outlineLevel="0" collapsed="false">
      <c r="A10" s="7" t="s">
        <v>105</v>
      </c>
      <c r="B10" s="21" t="s">
        <v>106</v>
      </c>
      <c r="C10" s="23" t="n">
        <f aca="false">2*C9</f>
        <v>10</v>
      </c>
      <c r="D10" s="7" t="s">
        <v>100</v>
      </c>
    </row>
    <row r="11" customFormat="false" ht="15" hidden="false" customHeight="false" outlineLevel="0" collapsed="false">
      <c r="A11" s="7" t="s">
        <v>107</v>
      </c>
      <c r="B11" s="21" t="s">
        <v>108</v>
      </c>
      <c r="C11" s="24" t="n">
        <f aca="false">C10*Inputs!$C$6*Inputs!$C$10</f>
        <v>1413</v>
      </c>
      <c r="D11" s="7" t="s">
        <v>109</v>
      </c>
    </row>
    <row r="12" customFormat="false" ht="15" hidden="false" customHeight="false" outlineLevel="0" collapsed="false">
      <c r="A12" s="7" t="s">
        <v>110</v>
      </c>
      <c r="B12" s="21" t="s">
        <v>111</v>
      </c>
      <c r="C12" s="24" t="n">
        <f aca="false">C9*2*C5*Inputs!$C$12</f>
        <v>1570.86114362094</v>
      </c>
      <c r="D12" s="7" t="s">
        <v>109</v>
      </c>
    </row>
    <row r="13" customFormat="false" ht="15" hidden="false" customHeight="false" outlineLevel="0" collapsed="false">
      <c r="A13" s="7" t="s">
        <v>112</v>
      </c>
      <c r="B13" s="21" t="s">
        <v>113</v>
      </c>
      <c r="C13" s="23" t="n">
        <f aca="false">2*Inputs!$C$13</f>
        <v>4</v>
      </c>
      <c r="D13" s="7" t="s">
        <v>100</v>
      </c>
    </row>
    <row r="14" customFormat="false" ht="15" hidden="false" customHeight="false" outlineLevel="0" collapsed="false">
      <c r="A14" s="7" t="s">
        <v>114</v>
      </c>
      <c r="B14" s="21" t="s">
        <v>115</v>
      </c>
      <c r="C14" s="24" t="n">
        <f aca="false">C13*(Inputs!$C$6+C4/2)*Inputs!$C$14</f>
        <v>370.052659515678</v>
      </c>
      <c r="D14" s="7" t="s">
        <v>109</v>
      </c>
    </row>
    <row r="15" customFormat="false" ht="15" hidden="false" customHeight="false" outlineLevel="0" collapsed="false">
      <c r="A15" s="7" t="s">
        <v>116</v>
      </c>
      <c r="B15" s="21" t="s">
        <v>117</v>
      </c>
      <c r="C15" s="24" t="n">
        <f aca="false">(C11+C12+C14)*Inputs!$C$15/100</f>
        <v>402.469656376394</v>
      </c>
      <c r="D15" s="7" t="s">
        <v>109</v>
      </c>
    </row>
    <row r="16" customFormat="false" ht="15" hidden="false" customHeight="false" outlineLevel="0" collapsed="false">
      <c r="A16" s="7" t="s">
        <v>118</v>
      </c>
      <c r="B16" s="21" t="s">
        <v>119</v>
      </c>
      <c r="C16" s="25" t="n">
        <f aca="false">(C11+C12+C14+C15)/1000</f>
        <v>3.75638345951301</v>
      </c>
      <c r="D16" s="7" t="s">
        <v>120</v>
      </c>
    </row>
    <row r="17" customFormat="false" ht="15" hidden="false" customHeight="false" outlineLevel="0" collapsed="false">
      <c r="A17" s="7" t="s">
        <v>121</v>
      </c>
      <c r="B17" s="21" t="s">
        <v>122</v>
      </c>
      <c r="C17" s="23" t="n">
        <f aca="false">ROUNDUP(C5/Inputs!$C$18,0)+1</f>
        <v>7</v>
      </c>
      <c r="D17" s="7" t="s">
        <v>100</v>
      </c>
    </row>
    <row r="18" customFormat="false" ht="15" hidden="false" customHeight="false" outlineLevel="0" collapsed="false">
      <c r="A18" s="7" t="s">
        <v>123</v>
      </c>
      <c r="B18" s="21" t="s">
        <v>124</v>
      </c>
      <c r="C18" s="24" t="n">
        <f aca="false">2*C17*Inputs!$C$5*(1+Inputs!$C$22/100)</f>
        <v>352.8</v>
      </c>
      <c r="D18" s="7" t="s">
        <v>93</v>
      </c>
    </row>
    <row r="19" customFormat="false" ht="15" hidden="false" customHeight="false" outlineLevel="0" collapsed="false">
      <c r="A19" s="7" t="s">
        <v>125</v>
      </c>
      <c r="B19" s="21" t="s">
        <v>126</v>
      </c>
      <c r="C19" s="24" t="n">
        <f aca="false">C18*Inputs!$C$17</f>
        <v>1834.56</v>
      </c>
      <c r="D19" s="7" t="s">
        <v>109</v>
      </c>
    </row>
    <row r="20" customFormat="false" ht="15" hidden="false" customHeight="false" outlineLevel="0" collapsed="false">
      <c r="A20" s="7" t="s">
        <v>127</v>
      </c>
      <c r="B20" s="21" t="s">
        <v>128</v>
      </c>
      <c r="C20" s="23" t="n">
        <f aca="false">ROUNDUP(Inputs!$C$6/Inputs!$C$21,0)</f>
        <v>3</v>
      </c>
      <c r="D20" s="7" t="s">
        <v>100</v>
      </c>
    </row>
    <row r="21" customFormat="false" ht="15" hidden="false" customHeight="false" outlineLevel="0" collapsed="false">
      <c r="A21" s="7" t="s">
        <v>129</v>
      </c>
      <c r="B21" s="21" t="s">
        <v>130</v>
      </c>
      <c r="C21" s="24" t="n">
        <f aca="false">C20*2*(Inputs!$C$5+Inputs!$C$4)*(1+Inputs!$C$22/100)</f>
        <v>226.8</v>
      </c>
      <c r="D21" s="7" t="s">
        <v>93</v>
      </c>
    </row>
    <row r="22" customFormat="false" ht="15" hidden="false" customHeight="false" outlineLevel="0" collapsed="false">
      <c r="A22" s="7" t="s">
        <v>131</v>
      </c>
      <c r="B22" s="21" t="s">
        <v>126</v>
      </c>
      <c r="C22" s="24" t="n">
        <f aca="false">C21*Inputs!$C$20</f>
        <v>771.12</v>
      </c>
      <c r="D22" s="7" t="s">
        <v>109</v>
      </c>
    </row>
    <row r="23" customFormat="false" ht="15" hidden="false" customHeight="false" outlineLevel="0" collapsed="false">
      <c r="A23" s="7" t="s">
        <v>132</v>
      </c>
      <c r="B23" s="21" t="s">
        <v>133</v>
      </c>
      <c r="C23" s="24" t="n">
        <f aca="false">2*C5*Inputs!$C$5*(1+Inputs!$C$23/100)</f>
        <v>316.86164079887</v>
      </c>
      <c r="D23" s="7" t="s">
        <v>134</v>
      </c>
    </row>
    <row r="24" customFormat="false" ht="15" hidden="false" customHeight="false" outlineLevel="0" collapsed="false">
      <c r="A24" s="7" t="s">
        <v>135</v>
      </c>
      <c r="B24" s="21" t="s">
        <v>136</v>
      </c>
      <c r="C24" s="24" t="n">
        <f aca="false">2*Inputs!$C$5*Inputs!$C$6+2*(Inputs!$C$4*Inputs!$C$6+Inputs!$C$4*C4/2)</f>
        <v>337.995382257916</v>
      </c>
      <c r="D24" s="7" t="s">
        <v>134</v>
      </c>
    </row>
    <row r="25" customFormat="false" ht="15" hidden="false" customHeight="false" outlineLevel="0" collapsed="false">
      <c r="A25" s="7" t="s">
        <v>137</v>
      </c>
      <c r="B25" s="21" t="s">
        <v>138</v>
      </c>
      <c r="C25" s="26" t="n">
        <f aca="false">Inputs!$C$24*Inputs!$C$25*Inputs!$C$26+Inputs!$C$27*0.82*2.04+Inputs!$C$28*Inputs!$C$29</f>
        <v>35.8328</v>
      </c>
      <c r="D25" s="7" t="s">
        <v>134</v>
      </c>
    </row>
    <row r="26" customFormat="false" ht="15" hidden="false" customHeight="false" outlineLevel="0" collapsed="false">
      <c r="A26" s="7" t="s">
        <v>139</v>
      </c>
      <c r="B26" s="21" t="s">
        <v>140</v>
      </c>
      <c r="C26" s="24" t="n">
        <f aca="false">(C24-C25)*(1+Inputs!$C$23/100)</f>
        <v>326.335588838549</v>
      </c>
      <c r="D26" s="7" t="s">
        <v>134</v>
      </c>
    </row>
    <row r="27" customFormat="false" ht="15" hidden="false" customHeight="false" outlineLevel="0" collapsed="false">
      <c r="A27" s="7" t="s">
        <v>141</v>
      </c>
      <c r="B27" s="21" t="s">
        <v>142</v>
      </c>
      <c r="C27" s="26" t="n">
        <f aca="false">Inputs!$C$5</f>
        <v>24</v>
      </c>
      <c r="D27" s="7" t="s">
        <v>93</v>
      </c>
    </row>
    <row r="28" customFormat="false" ht="15" hidden="false" customHeight="false" outlineLevel="0" collapsed="false">
      <c r="A28" s="7" t="s">
        <v>143</v>
      </c>
      <c r="B28" s="21" t="s">
        <v>144</v>
      </c>
      <c r="C28" s="26" t="n">
        <f aca="false">4*C5</f>
        <v>24.4492006789251</v>
      </c>
      <c r="D28" s="7" t="s">
        <v>93</v>
      </c>
    </row>
    <row r="29" customFormat="false" ht="15" hidden="false" customHeight="false" outlineLevel="0" collapsed="false">
      <c r="A29" s="7" t="s">
        <v>145</v>
      </c>
      <c r="B29" s="21" t="s">
        <v>146</v>
      </c>
      <c r="C29" s="26" t="n">
        <f aca="false">4*Inputs!$C$6+Inputs!$C$24*(2*Inputs!$C$26+Inputs!$C$25)+Inputs!$C$27*5</f>
        <v>47</v>
      </c>
      <c r="D29" s="7" t="s">
        <v>93</v>
      </c>
    </row>
    <row r="30" customFormat="false" ht="15" hidden="false" customHeight="false" outlineLevel="0" collapsed="false">
      <c r="A30" s="7" t="s">
        <v>147</v>
      </c>
      <c r="B30" s="21" t="s">
        <v>148</v>
      </c>
      <c r="C30" s="26" t="n">
        <f aca="false">2*Inputs!$C$5</f>
        <v>48</v>
      </c>
      <c r="D30" s="7" t="s">
        <v>93</v>
      </c>
    </row>
    <row r="31" customFormat="false" ht="15" hidden="false" customHeight="false" outlineLevel="0" collapsed="false">
      <c r="A31" s="7" t="s">
        <v>149</v>
      </c>
      <c r="B31" s="21" t="s">
        <v>150</v>
      </c>
      <c r="C31" s="23" t="n">
        <f aca="false">2*ROUNDUP(Inputs!$C$5/12,0)</f>
        <v>4</v>
      </c>
      <c r="D31" s="7" t="s">
        <v>100</v>
      </c>
    </row>
    <row r="32" customFormat="false" ht="15" hidden="false" customHeight="false" outlineLevel="0" collapsed="false">
      <c r="A32" s="7" t="s">
        <v>151</v>
      </c>
      <c r="B32" s="21" t="s">
        <v>152</v>
      </c>
      <c r="C32" s="27" t="n">
        <f aca="false">Inputs!$C$4*Inputs!$C$5</f>
        <v>288</v>
      </c>
      <c r="D32" s="7" t="s">
        <v>134</v>
      </c>
    </row>
    <row r="33" customFormat="false" ht="15" hidden="false" customHeight="false" outlineLevel="0" collapsed="false">
      <c r="A33" s="7" t="s">
        <v>153</v>
      </c>
      <c r="B33" s="21" t="s">
        <v>154</v>
      </c>
      <c r="C33" s="26" t="n">
        <f aca="false">C32*Inputs!$C$30*(1+Inputs!$C$31/100)</f>
        <v>37.8</v>
      </c>
      <c r="D33" s="7" t="s">
        <v>155</v>
      </c>
    </row>
    <row r="34" customFormat="false" ht="15" hidden="false" customHeight="false" outlineLevel="0" collapsed="false">
      <c r="A34" s="7" t="s">
        <v>156</v>
      </c>
      <c r="B34" s="21" t="s">
        <v>157</v>
      </c>
      <c r="C34" s="23" t="n">
        <f aca="false">ROUNDUP(C32*(1+Inputs!$C$33/100)/Inputs!$C$32,0)</f>
        <v>22</v>
      </c>
      <c r="D34" s="7" t="s">
        <v>100</v>
      </c>
    </row>
    <row r="35" customFormat="false" ht="15" hidden="false" customHeight="false" outlineLevel="0" collapsed="false">
      <c r="A35" s="7" t="s">
        <v>158</v>
      </c>
      <c r="B35" s="21" t="s">
        <v>159</v>
      </c>
      <c r="C35" s="23" t="n">
        <f aca="false">C10</f>
        <v>10</v>
      </c>
      <c r="D35" s="7" t="s">
        <v>100</v>
      </c>
    </row>
    <row r="36" customFormat="false" ht="15" hidden="false" customHeight="false" outlineLevel="0" collapsed="false">
      <c r="A36" s="7" t="s">
        <v>160</v>
      </c>
      <c r="B36" s="21" t="s">
        <v>161</v>
      </c>
      <c r="C36" s="26" t="n">
        <f aca="false">C35*Inputs!$C$35*Inputs!$C$36*Inputs!$C$37+C13*Inputs!$C$38^2*Inputs!$C$39</f>
        <v>8.154</v>
      </c>
      <c r="D36" s="7" t="s">
        <v>155</v>
      </c>
    </row>
  </sheetData>
  <printOptions horizontalCentered="1"/>
  <pageMargins left="0.5" right="0.5" top="0.8" bottom="0.75" header="0.3" footer="0.3"/>
  <pageSetup paperSize="9" orientation="portrait" fitToWidth="1" fitToHeight="1"/>
  <headerFooter>
    <oddHeader>&amp;L&amp;8&amp;K1F3A5FCIVILWORKS ATELIER&amp;C&amp;9&amp;BEstimate Steel Shed&amp;R&amp;8&amp;A</oddHeader>
    <oddFooter>&amp;L&amp;7Preliminary / educational — verify against current standards&amp;C&amp;8Page &amp;P of &amp;N&amp;R&amp;7Printed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E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4" topLeftCell="A5" activePane="bottomLeft" state="frozen"/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4" min="2" style="0" width="12"/>
    <col collapsed="false" customWidth="true" hidden="false" outlineLevel="0" max="5" min="5" style="0" width="14"/>
  </cols>
  <sheetData>
    <row r="1" customFormat="false" ht="17.35" hidden="false" customHeight="false" outlineLevel="0" collapsed="false">
      <c r="A1" s="1" t="s">
        <v>162</v>
      </c>
    </row>
    <row r="2" customFormat="false" ht="15" hidden="false" customHeight="false" outlineLevel="0" collapsed="false">
      <c r="A2" s="4" t="str">
        <f aca="false">Inputs!C3</f>
        <v>Example shed – Gold Coast</v>
      </c>
    </row>
    <row r="4" customFormat="false" ht="36" hidden="false" customHeight="true" outlineLevel="0" collapsed="false">
      <c r="A4" s="20" t="s">
        <v>163</v>
      </c>
      <c r="B4" s="20" t="s">
        <v>89</v>
      </c>
      <c r="C4" s="20" t="s">
        <v>90</v>
      </c>
      <c r="D4" s="20" t="s">
        <v>164</v>
      </c>
      <c r="E4" s="20" t="s">
        <v>165</v>
      </c>
    </row>
    <row r="5" customFormat="false" ht="15" hidden="false" customHeight="false" outlineLevel="0" collapsed="false">
      <c r="A5" s="7" t="s">
        <v>166</v>
      </c>
      <c r="B5" s="28" t="n">
        <f aca="false">Quantities!C32</f>
        <v>288</v>
      </c>
      <c r="C5" s="7" t="s">
        <v>134</v>
      </c>
      <c r="D5" s="29" t="n">
        <f aca="false">Rates!$C$19</f>
        <v>15</v>
      </c>
      <c r="E5" s="30" t="n">
        <f aca="false">B5*D5</f>
        <v>4320</v>
      </c>
    </row>
    <row r="6" customFormat="false" ht="15" hidden="false" customHeight="false" outlineLevel="0" collapsed="false">
      <c r="A6" s="7" t="s">
        <v>167</v>
      </c>
      <c r="B6" s="28" t="n">
        <f aca="false">Quantities!C36</f>
        <v>8.154</v>
      </c>
      <c r="C6" s="7" t="s">
        <v>155</v>
      </c>
      <c r="D6" s="29" t="n">
        <f aca="false">Rates!$C$18</f>
        <v>140</v>
      </c>
      <c r="E6" s="30" t="n">
        <f aca="false">B6*D6</f>
        <v>1141.56</v>
      </c>
    </row>
    <row r="7" customFormat="false" ht="15" hidden="false" customHeight="false" outlineLevel="0" collapsed="false">
      <c r="A7" s="7" t="s">
        <v>168</v>
      </c>
      <c r="B7" s="28" t="n">
        <f aca="false">Quantities!C36</f>
        <v>8.154</v>
      </c>
      <c r="C7" s="7" t="s">
        <v>155</v>
      </c>
      <c r="D7" s="29" t="n">
        <f aca="false">Rates!$C$15</f>
        <v>310</v>
      </c>
      <c r="E7" s="30" t="n">
        <f aca="false">B7*D7</f>
        <v>2527.74</v>
      </c>
    </row>
    <row r="8" customFormat="false" ht="15" hidden="false" customHeight="false" outlineLevel="0" collapsed="false">
      <c r="A8" s="7" t="s">
        <v>169</v>
      </c>
      <c r="B8" s="28" t="n">
        <f aca="false">Quantities!C33</f>
        <v>37.8</v>
      </c>
      <c r="C8" s="7" t="s">
        <v>155</v>
      </c>
      <c r="D8" s="29" t="n">
        <f aca="false">Rates!$C$15</f>
        <v>310</v>
      </c>
      <c r="E8" s="30" t="n">
        <f aca="false">B8*D8</f>
        <v>11718</v>
      </c>
    </row>
    <row r="9" customFormat="false" ht="15" hidden="false" customHeight="false" outlineLevel="0" collapsed="false">
      <c r="A9" s="7" t="s">
        <v>170</v>
      </c>
      <c r="B9" s="28" t="n">
        <f aca="false">Quantities!C34</f>
        <v>22</v>
      </c>
      <c r="C9" s="7" t="s">
        <v>171</v>
      </c>
      <c r="D9" s="29" t="n">
        <f aca="false">Rates!$C$16</f>
        <v>98</v>
      </c>
      <c r="E9" s="30" t="n">
        <f aca="false">B9*D9</f>
        <v>2156</v>
      </c>
    </row>
    <row r="10" customFormat="false" ht="15" hidden="false" customHeight="false" outlineLevel="0" collapsed="false">
      <c r="A10" s="7" t="s">
        <v>172</v>
      </c>
      <c r="B10" s="28" t="n">
        <f aca="false">Quantities!C32</f>
        <v>288</v>
      </c>
      <c r="C10" s="7" t="s">
        <v>134</v>
      </c>
      <c r="D10" s="29" t="n">
        <f aca="false">Rates!$C$17</f>
        <v>38</v>
      </c>
      <c r="E10" s="30" t="n">
        <f aca="false">B10*D10</f>
        <v>10944</v>
      </c>
    </row>
    <row r="11" customFormat="false" ht="15" hidden="false" customHeight="false" outlineLevel="0" collapsed="false">
      <c r="A11" s="7" t="s">
        <v>173</v>
      </c>
      <c r="B11" s="28" t="n">
        <f aca="false">Quantities!C16</f>
        <v>3.75638345951301</v>
      </c>
      <c r="C11" s="7" t="s">
        <v>120</v>
      </c>
      <c r="D11" s="29" t="n">
        <f aca="false">Rates!$C$3</f>
        <v>6000</v>
      </c>
      <c r="E11" s="30" t="n">
        <f aca="false">B11*D11</f>
        <v>22538.3007570781</v>
      </c>
    </row>
    <row r="12" customFormat="false" ht="15" hidden="false" customHeight="false" outlineLevel="0" collapsed="false">
      <c r="A12" s="7" t="s">
        <v>174</v>
      </c>
      <c r="B12" s="28" t="n">
        <f aca="false">Quantities!C18</f>
        <v>352.8</v>
      </c>
      <c r="C12" s="7" t="s">
        <v>93</v>
      </c>
      <c r="D12" s="29" t="n">
        <f aca="false">Rates!$C$4</f>
        <v>19</v>
      </c>
      <c r="E12" s="30" t="n">
        <f aca="false">B12*D12</f>
        <v>6703.2</v>
      </c>
    </row>
    <row r="13" customFormat="false" ht="15" hidden="false" customHeight="false" outlineLevel="0" collapsed="false">
      <c r="A13" s="7" t="s">
        <v>175</v>
      </c>
      <c r="B13" s="28" t="n">
        <f aca="false">Quantities!C21</f>
        <v>226.8</v>
      </c>
      <c r="C13" s="7" t="s">
        <v>93</v>
      </c>
      <c r="D13" s="29" t="n">
        <f aca="false">Rates!$C$5</f>
        <v>14</v>
      </c>
      <c r="E13" s="30" t="n">
        <f aca="false">B13*D13</f>
        <v>3175.2</v>
      </c>
    </row>
    <row r="14" customFormat="false" ht="15" hidden="false" customHeight="false" outlineLevel="0" collapsed="false">
      <c r="A14" s="7" t="s">
        <v>176</v>
      </c>
      <c r="B14" s="28" t="n">
        <f aca="false">Quantities!C23</f>
        <v>316.86164079887</v>
      </c>
      <c r="C14" s="7" t="s">
        <v>134</v>
      </c>
      <c r="D14" s="29" t="n">
        <f aca="false">Rates!$C$6</f>
        <v>30</v>
      </c>
      <c r="E14" s="30" t="n">
        <f aca="false">B14*D14</f>
        <v>9505.8492239661</v>
      </c>
    </row>
    <row r="15" customFormat="false" ht="15" hidden="false" customHeight="false" outlineLevel="0" collapsed="false">
      <c r="A15" s="7" t="s">
        <v>177</v>
      </c>
      <c r="B15" s="28" t="n">
        <f aca="false">Quantities!C26</f>
        <v>326.335588838549</v>
      </c>
      <c r="C15" s="7" t="s">
        <v>134</v>
      </c>
      <c r="D15" s="29" t="n">
        <f aca="false">Rates!$C$7</f>
        <v>27</v>
      </c>
      <c r="E15" s="30" t="n">
        <f aca="false">B15*D15</f>
        <v>8811.06089864082</v>
      </c>
    </row>
    <row r="16" customFormat="false" ht="15" hidden="false" customHeight="false" outlineLevel="0" collapsed="false">
      <c r="A16" s="7" t="s">
        <v>178</v>
      </c>
      <c r="B16" s="28" t="n">
        <f aca="false">Quantities!C27+Quantities!C28+Quantities!C29</f>
        <v>95.4492006789251</v>
      </c>
      <c r="C16" s="7" t="s">
        <v>93</v>
      </c>
      <c r="D16" s="29" t="n">
        <f aca="false">Rates!$C$8</f>
        <v>18</v>
      </c>
      <c r="E16" s="30" t="n">
        <f aca="false">B16*D16</f>
        <v>1718.08561222065</v>
      </c>
    </row>
    <row r="17" customFormat="false" ht="15" hidden="false" customHeight="false" outlineLevel="0" collapsed="false">
      <c r="A17" s="7" t="s">
        <v>179</v>
      </c>
      <c r="B17" s="28" t="n">
        <f aca="false">Quantities!C30</f>
        <v>48</v>
      </c>
      <c r="C17" s="7" t="s">
        <v>93</v>
      </c>
      <c r="D17" s="29" t="n">
        <f aca="false">Rates!$C$9</f>
        <v>32</v>
      </c>
      <c r="E17" s="30" t="n">
        <f aca="false">B17*D17</f>
        <v>1536</v>
      </c>
    </row>
    <row r="18" customFormat="false" ht="15" hidden="false" customHeight="false" outlineLevel="0" collapsed="false">
      <c r="A18" s="7" t="s">
        <v>149</v>
      </c>
      <c r="B18" s="28" t="n">
        <f aca="false">Quantities!C31</f>
        <v>4</v>
      </c>
      <c r="C18" s="7" t="s">
        <v>100</v>
      </c>
      <c r="D18" s="29" t="n">
        <f aca="false">Rates!$C$10</f>
        <v>140</v>
      </c>
      <c r="E18" s="30" t="n">
        <f aca="false">B18*D18</f>
        <v>560</v>
      </c>
    </row>
    <row r="19" customFormat="false" ht="15" hidden="false" customHeight="false" outlineLevel="0" collapsed="false">
      <c r="A19" s="7" t="s">
        <v>180</v>
      </c>
      <c r="B19" s="28" t="n">
        <f aca="false">(E14+E15+E16)</f>
        <v>20034.9957348276</v>
      </c>
      <c r="C19" s="7" t="s">
        <v>181</v>
      </c>
      <c r="D19" s="29" t="n">
        <f aca="false">Rates!$C$14/100</f>
        <v>0.06</v>
      </c>
      <c r="E19" s="30" t="n">
        <f aca="false">B19*D19</f>
        <v>1202.09974408965</v>
      </c>
    </row>
    <row r="20" customFormat="false" ht="15" hidden="false" customHeight="false" outlineLevel="0" collapsed="false">
      <c r="A20" s="7" t="s">
        <v>182</v>
      </c>
      <c r="B20" s="28" t="n">
        <f aca="false">Inputs!$C$24</f>
        <v>2</v>
      </c>
      <c r="C20" s="7" t="s">
        <v>100</v>
      </c>
      <c r="D20" s="29" t="n">
        <f aca="false">Rates!$C$11</f>
        <v>3400</v>
      </c>
      <c r="E20" s="30" t="n">
        <f aca="false">B20*D20</f>
        <v>6800</v>
      </c>
    </row>
    <row r="21" customFormat="false" ht="15" hidden="false" customHeight="false" outlineLevel="0" collapsed="false">
      <c r="A21" s="7" t="s">
        <v>183</v>
      </c>
      <c r="B21" s="28" t="n">
        <f aca="false">Inputs!$C$27</f>
        <v>1</v>
      </c>
      <c r="C21" s="7" t="s">
        <v>100</v>
      </c>
      <c r="D21" s="29" t="n">
        <f aca="false">Rates!$C$12</f>
        <v>1250</v>
      </c>
      <c r="E21" s="30" t="n">
        <f aca="false">B21*D21</f>
        <v>1250</v>
      </c>
    </row>
    <row r="22" customFormat="false" ht="15" hidden="false" customHeight="false" outlineLevel="0" collapsed="false">
      <c r="A22" s="7" t="s">
        <v>184</v>
      </c>
      <c r="B22" s="28" t="n">
        <f aca="false">Inputs!$C$28</f>
        <v>2</v>
      </c>
      <c r="C22" s="7" t="s">
        <v>100</v>
      </c>
      <c r="D22" s="29" t="n">
        <f aca="false">Rates!$C$13</f>
        <v>680</v>
      </c>
      <c r="E22" s="30" t="n">
        <f aca="false">B22*D22</f>
        <v>1360</v>
      </c>
    </row>
    <row r="23" customFormat="false" ht="15" hidden="false" customHeight="false" outlineLevel="0" collapsed="false">
      <c r="A23" s="7" t="s">
        <v>185</v>
      </c>
      <c r="B23" s="28" t="n">
        <f aca="false">Quantities!C32</f>
        <v>288</v>
      </c>
      <c r="C23" s="7" t="s">
        <v>134</v>
      </c>
      <c r="D23" s="29" t="n">
        <f aca="false">Rates!$C$20</f>
        <v>48</v>
      </c>
      <c r="E23" s="30" t="n">
        <f aca="false">B23*D23</f>
        <v>13824</v>
      </c>
    </row>
    <row r="24" customFormat="false" ht="15" hidden="false" customHeight="false" outlineLevel="0" collapsed="false">
      <c r="A24" s="7" t="s">
        <v>186</v>
      </c>
      <c r="B24" s="28" t="n">
        <f aca="false">Rates!$C$22</f>
        <v>2</v>
      </c>
      <c r="C24" s="7" t="s">
        <v>187</v>
      </c>
      <c r="D24" s="29" t="n">
        <f aca="false">Rates!$C$21</f>
        <v>1900</v>
      </c>
      <c r="E24" s="30" t="n">
        <f aca="false">B24*D24</f>
        <v>3800</v>
      </c>
    </row>
    <row r="25" customFormat="false" ht="15" hidden="false" customHeight="false" outlineLevel="0" collapsed="false">
      <c r="A25" s="7" t="s">
        <v>188</v>
      </c>
      <c r="B25" s="28" t="n">
        <v>1</v>
      </c>
      <c r="C25" s="7" t="s">
        <v>189</v>
      </c>
      <c r="D25" s="29" t="n">
        <f aca="false">Rates!$C$23</f>
        <v>4800</v>
      </c>
      <c r="E25" s="30" t="n">
        <f aca="false">B25*D25</f>
        <v>4800</v>
      </c>
    </row>
    <row r="26" customFormat="false" ht="15" hidden="false" customHeight="false" outlineLevel="0" collapsed="false">
      <c r="A26" s="7" t="s">
        <v>190</v>
      </c>
      <c r="B26" s="28" t="n">
        <v>1</v>
      </c>
      <c r="C26" s="7" t="s">
        <v>189</v>
      </c>
      <c r="D26" s="29" t="n">
        <f aca="false">Rates!$C$24</f>
        <v>2600</v>
      </c>
      <c r="E26" s="30" t="n">
        <f aca="false">B26*D26</f>
        <v>2600</v>
      </c>
    </row>
    <row r="28" customFormat="false" ht="15" hidden="false" customHeight="false" outlineLevel="0" collapsed="false">
      <c r="A28" s="7" t="s">
        <v>191</v>
      </c>
      <c r="C28" s="30" t="n">
        <f aca="false">SUM(E5:E26)</f>
        <v>122991.096235995</v>
      </c>
    </row>
    <row r="29" customFormat="false" ht="15" hidden="false" customHeight="false" outlineLevel="0" collapsed="false">
      <c r="A29" s="7" t="s">
        <v>192</v>
      </c>
      <c r="C29" s="30" t="n">
        <f aca="false">C28*Rates!$C$25/100</f>
        <v>12299.1096235995</v>
      </c>
    </row>
    <row r="30" customFormat="false" ht="15" hidden="false" customHeight="false" outlineLevel="0" collapsed="false">
      <c r="A30" s="7" t="s">
        <v>193</v>
      </c>
      <c r="C30" s="30" t="n">
        <f aca="false">(C28+C29)*Rates!$C$26/100</f>
        <v>20293.5308789392</v>
      </c>
    </row>
    <row r="31" customFormat="false" ht="15" hidden="false" customHeight="false" outlineLevel="0" collapsed="false">
      <c r="A31" s="4" t="s">
        <v>194</v>
      </c>
      <c r="C31" s="31" t="n">
        <f aca="false">C28+C29+C30</f>
        <v>155583.736738534</v>
      </c>
    </row>
    <row r="32" customFormat="false" ht="15" hidden="false" customHeight="false" outlineLevel="0" collapsed="false">
      <c r="A32" s="7" t="s">
        <v>195</v>
      </c>
      <c r="C32" s="30" t="n">
        <f aca="false">C31*Rates!$C$27/100</f>
        <v>15558.3736738534</v>
      </c>
    </row>
    <row r="33" customFormat="false" ht="15" hidden="false" customHeight="false" outlineLevel="0" collapsed="false">
      <c r="A33" s="4" t="s">
        <v>196</v>
      </c>
      <c r="C33" s="31" t="n">
        <f aca="false">C31+C32</f>
        <v>171142.110412387</v>
      </c>
    </row>
    <row r="34" customFormat="false" ht="15" hidden="false" customHeight="false" outlineLevel="0" collapsed="false">
      <c r="A34" s="4" t="s">
        <v>197</v>
      </c>
      <c r="C34" s="31" t="n">
        <f aca="false">C33/Quantities!C32</f>
        <v>594.243438931901</v>
      </c>
    </row>
    <row r="35" customFormat="false" ht="15" hidden="false" customHeight="false" outlineLevel="0" collapsed="false">
      <c r="A35" s="7" t="s">
        <v>198</v>
      </c>
      <c r="C35" s="26" t="n">
        <f aca="false">Quantities!C16*1000/Quantities!C32</f>
        <v>13.0429981233091</v>
      </c>
    </row>
  </sheetData>
  <printOptions horizontalCentered="1"/>
  <pageMargins left="0.5" right="0.5" top="0.8" bottom="0.75" header="0.3" footer="0.3"/>
  <pageSetup paperSize="9" orientation="portrait" fitToWidth="1" fitToHeight="1"/>
  <headerFooter>
    <oddHeader>&amp;L&amp;8&amp;K1F3A5FCIVILWORKS ATELIER&amp;C&amp;9&amp;BEstimate Steel Shed&amp;R&amp;8&amp;A</oddHeader>
    <oddFooter>&amp;L&amp;7Preliminary / educational — verify against current standards&amp;C&amp;8Page &amp;P of &amp;N&amp;R&amp;7Printed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2026-10-12T13:33:03Z</dcterms:created>
  <dc:creator>openpyxl</dc:creator>
  <dc:description/>
  <dc:language>en-US</dc:language>
  <cp:lastModifiedBy/>
  <dcterms:modified xsi:type="dcterms:W3CDTF">2026-10-12T13:33:03Z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