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apacity" sheetId="2" state="visible" r:id="rId4"/>
  </sheets>
  <definedNames>
    <definedName name="_xlnm.Print_Area" localSheetId="0">'Read me'!$A$1:$A$19</definedName>
    <definedName name="_xlnm.Print_Area" localSheetId="1">'Capacity'!$A$1:$P$34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Example: 600 mm bored pile</t>
        </r>
      </text>
    </comment>
    <comment ref="C5" authorId="0">
      <text>
        <r>
          <rPr>
            <sz val="10"/>
            <rFont val="Arial"/>
            <family val="2"/>
          </rPr>
          <t xml:space="preserve">Depth below ground to groundwater</t>
        </r>
      </text>
    </comment>
    <comment ref="C6" authorId="0">
      <text>
        <r>
          <rPr>
            <sz val="10"/>
            <rFont val="Arial"/>
            <family val="2"/>
          </rPr>
          <t xml:space="preserve">Standard value</t>
        </r>
      </text>
    </comment>
    <comment ref="C7" authorId="0">
      <text>
        <r>
          <rPr>
            <sz val="10"/>
            <rFont val="Arial"/>
            <family val="2"/>
          </rPr>
          <t xml:space="preserve">Global FS for allowable load; AS 2159 uses a geotechnical reduction factor instead</t>
        </r>
      </text>
    </comment>
    <comment ref="C8" authorId="0">
      <text>
        <r>
          <rPr>
            <sz val="10"/>
            <rFont val="Arial"/>
            <family val="2"/>
          </rPr>
          <t xml:space="preserve">Upper bound on β·σ'v; check against local practice</t>
        </r>
      </text>
    </comment>
    <comment ref="C9" authorId="0">
      <text>
        <r>
          <rPr>
            <sz val="10"/>
            <rFont val="Arial"/>
            <family val="2"/>
          </rPr>
          <t xml:space="preserve">Upper bound on Nq·σ'v at the toe</t>
        </r>
      </text>
    </comment>
  </commentList>
</comments>
</file>

<file path=xl/sharedStrings.xml><?xml version="1.0" encoding="utf-8"?>
<sst xmlns="http://schemas.openxmlformats.org/spreadsheetml/2006/main" count="58" uniqueCount="55">
  <si>
    <t xml:space="preserve">Single pile axial capacity – static (α / β) method</t>
  </si>
  <si>
    <t xml:space="preserve">What it does</t>
  </si>
  <si>
    <t xml:space="preserve">Estimates the ultimate and allowable axial compression capacity of a single bored or driven pile from a layered soil profile, using total-stress α method in clay and effective-stress β method in sand.</t>
  </si>
  <si>
    <t xml:space="preserve">Method</t>
  </si>
  <si>
    <t xml:space="preserve">Shaft, clay: fs = α·cu, with α = 0.5·ψ^-0.5 for ψ ≤ 1 and 0.5·ψ^-0.25 for ψ &gt; 1, ψ = cu/σ'v, α ≤ 1 (API RP 2GEO / API RP 2A).</t>
  </si>
  <si>
    <t xml:space="preserve">Shaft, sand: fs = β·σ'v, capped at a limiting unit shaft friction. Base, clay: qb = 9·cu. Base, sand: qb = Nq·σ'v at the toe, capped at a limiting base pressure.</t>
  </si>
  <si>
    <t xml:space="preserve">Stresses are computed at the middle of each layer; pore pressure is hydrostatic below the water table. Qult = ΣQs + Qb, Qall = Qult / FS.</t>
  </si>
  <si>
    <t xml:space="preserve">How to use</t>
  </si>
  <si>
    <t xml:space="preserve">On the 'Capacity' sheet change the blue inputs: pile diameter, water table, factor of safety, limits, and up to 8 soil layers (top, bottom, Clay or Sand, unit weight, cu or β and Nq). Leave unused layer rows blank.</t>
  </si>
  <si>
    <t xml:space="preserve">References</t>
  </si>
  <si>
    <t xml:space="preserve">API RP 2GEO (2011) Geotechnical and Foundation Design Considerations; Tomlinson &amp; Woodward, Pile Design and Construction Practice; AS 2159-2009 Piling – Design and installation.</t>
  </si>
  <si>
    <t xml:space="preserve">Colour legend</t>
  </si>
  <si>
    <t xml:space="preserve">Blue text = input you can change (example values are illustrative, not from a real site)</t>
  </si>
  <si>
    <t xml:space="preserve">Yellow fill = key assumption to check for your project</t>
  </si>
  <si>
    <t xml:space="preserve">Black text = formula; do not overwrite</t>
  </si>
  <si>
    <t xml:space="preserve">Prepared by CivilWorks Atelier, Civil &amp; Geotechnical Engineer, Gold Coast QLD. For learning and preliminary checks only; final design must follow the governing standard (e.g. AS 2159 Piling) and be verified by a qualified engineer.</t>
  </si>
  <si>
    <t xml:space="preserve">Single pile axial capacity – static method</t>
  </si>
  <si>
    <t xml:space="preserve">Inputs</t>
  </si>
  <si>
    <t xml:space="preserve">Pile diameter, D (m)</t>
  </si>
  <si>
    <t xml:space="preserve">Water table depth, zw (m)</t>
  </si>
  <si>
    <t xml:space="preserve">Unit weight of water, γw (kN/m³)</t>
  </si>
  <si>
    <t xml:space="preserve">Factor of safety, FS</t>
  </si>
  <si>
    <t xml:space="preserve">Limit unit shaft friction in sand (kPa)</t>
  </si>
  <si>
    <t xml:space="preserve">Limit base pressure in sand (kPa)</t>
  </si>
  <si>
    <t xml:space="preserve">Soil layers (example profile: fill over soft clay over sands, illustrative only)</t>
  </si>
  <si>
    <t xml:space="preserve">Layer</t>
  </si>
  <si>
    <t xml:space="preserve">Top (m)</t>
  </si>
  <si>
    <t xml:space="preserve">Bottom (m)</t>
  </si>
  <si>
    <t xml:space="preserve">Soil (Clay/Sand)</t>
  </si>
  <si>
    <t xml:space="preserve">γ (kN/m³)</t>
  </si>
  <si>
    <t xml:space="preserve">cu (kPa) clay</t>
  </si>
  <si>
    <t xml:space="preserve">β sand</t>
  </si>
  <si>
    <t xml:space="preserve">Nq sand</t>
  </si>
  <si>
    <t xml:space="preserve">Thickness (m)</t>
  </si>
  <si>
    <t xml:space="preserve">σv top (kPa)</t>
  </si>
  <si>
    <t xml:space="preserve">σv bottom (kPa)</t>
  </si>
  <si>
    <t xml:space="preserve">σ'v mid (kPa)</t>
  </si>
  <si>
    <t xml:space="preserve">ψ = cu/σ'v</t>
  </si>
  <si>
    <t xml:space="preserve">α</t>
  </si>
  <si>
    <t xml:space="preserve">fs (kPa)</t>
  </si>
  <si>
    <t xml:space="preserve">Qs (kN)</t>
  </si>
  <si>
    <t xml:space="preserve">Sand</t>
  </si>
  <si>
    <t xml:space="preserve">Clay</t>
  </si>
  <si>
    <t xml:space="preserve">Results</t>
  </si>
  <si>
    <t xml:space="preserve">Pile length, L (m)</t>
  </si>
  <si>
    <t xml:space="preserve">Toe layer number</t>
  </si>
  <si>
    <t xml:space="preserve">Toe soil</t>
  </si>
  <si>
    <t xml:space="preserve">σ'v at toe (kPa)</t>
  </si>
  <si>
    <t xml:space="preserve">Base area, Ab (m²)</t>
  </si>
  <si>
    <t xml:space="preserve">Unit base resistance, qb (kPa)</t>
  </si>
  <si>
    <t xml:space="preserve">Shaft resistance, ΣQs (kN)</t>
  </si>
  <si>
    <t xml:space="preserve">Base resistance, Qb (kN)</t>
  </si>
  <si>
    <t xml:space="preserve">Ultimate capacity, Qult (kN)</t>
  </si>
  <si>
    <t xml:space="preserve">Allowable capacity, Qall = Qult / FS (kN)</t>
  </si>
  <si>
    <t xml:space="preserve">Shaft share of Qult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</si>
</sst>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"/>
    <numFmt numFmtId="167" formatCode="0"/>
    <numFmt numFmtId="168" formatCode="#,##0"/>
    <numFmt numFmtId="169" formatCode="@"/>
    <numFmt numFmtId="170" formatCode="0.000"/>
    <numFmt numFmtId="171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5531C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6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A3FD8"/>
        <bgColor rgb="FF5531C2"/>
      </patternFill>
    </fill>
    <fill>
      <patternFill patternType="solid">
        <fgColor rgb="FFF1EC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5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7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2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6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  <xf numFmtId="164" fontId="8" fillId="0" borderId="0" xfId="0" applyFont="true" applyBorder="false" applyAlignment="1" applyProtection="false">
      <alignment horizontal="general" vertical="top" textRotation="0" wrapText="1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5"/>
      <rgbColor rgb="FF808080"/>
      <rgbColor rgb="FF9999FF"/>
      <rgbColor rgb="FF993366"/>
      <rgbColor rgb="FFF1EC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A3FD8"/>
      <rgbColor rgb="FF33CCCC"/>
      <rgbColor rgb="FF99CC00"/>
      <rgbColor rgb="FFFFCC00"/>
      <rgbColor rgb="FFFF9900"/>
      <rgbColor rgb="FFFF6600"/>
      <rgbColor rgb="FF6A6480"/>
      <rgbColor rgb="FF969696"/>
      <rgbColor rgb="FF003366"/>
      <rgbColor rgb="FF339966"/>
      <rgbColor rgb="FF003300"/>
      <rgbColor rgb="FF333300"/>
      <rgbColor rgb="FF993300"/>
      <rgbColor rgb="FF993366"/>
      <rgbColor rgb="FF5531C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92" customWidth="1"/>
  </cols>
  <sheetData>
    <row r="1" customFormat="false" ht="17.35" hidden="false" customHeight="false" outlineLevel="0" collapsed="false">
      <c r="A1" s="25" t="s">
        <v>0</v>
      </c>
    </row>
    <row r="3" customFormat="false" ht="15" hidden="false" customHeight="false" outlineLevel="0" collapsed="false">
      <c r="A3" s="26" t="s">
        <v>1</v>
      </c>
    </row>
    <row r="4" customFormat="false" ht="26.85" hidden="false" customHeight="false" outlineLevel="0" collapsed="false">
      <c r="A4" s="27" t="s">
        <v>2</v>
      </c>
    </row>
    <row r="5" customFormat="false" ht="15" hidden="false" customHeight="false" outlineLevel="0" collapsed="false">
      <c r="A5" s="26" t="s">
        <v>3</v>
      </c>
    </row>
    <row r="6" customFormat="false" ht="26.85" hidden="false" customHeight="false" outlineLevel="0" collapsed="false">
      <c r="A6" s="27" t="s">
        <v>4</v>
      </c>
    </row>
    <row r="7" customFormat="false" ht="26.85" hidden="false" customHeight="false" outlineLevel="0" collapsed="false">
      <c r="A7" s="27" t="s">
        <v>5</v>
      </c>
    </row>
    <row r="8" customFormat="false" ht="26.85" hidden="false" customHeight="false" outlineLevel="0" collapsed="false">
      <c r="A8" s="27" t="s">
        <v>6</v>
      </c>
    </row>
    <row r="9" customFormat="false" ht="15" hidden="false" customHeight="false" outlineLevel="0" collapsed="false">
      <c r="A9" s="26" t="s">
        <v>7</v>
      </c>
    </row>
    <row r="10" customFormat="false" ht="26.85" hidden="false" customHeight="false" outlineLevel="0" collapsed="false">
      <c r="A10" s="27" t="s">
        <v>8</v>
      </c>
    </row>
    <row r="11" customFormat="false" ht="15" hidden="false" customHeight="false" outlineLevel="0" collapsed="false">
      <c r="A11" s="26" t="s">
        <v>9</v>
      </c>
    </row>
    <row r="12" customFormat="false" ht="26.85" hidden="false" customHeight="false" outlineLevel="0" collapsed="false">
      <c r="A12" s="27" t="s">
        <v>10</v>
      </c>
    </row>
    <row r="14" customFormat="false" ht="15" hidden="false" customHeight="false" outlineLevel="0" collapsed="false">
      <c r="A14" s="28" t="s">
        <v>11</v>
      </c>
    </row>
    <row r="15" customFormat="false" ht="15" hidden="false" customHeight="false" outlineLevel="0" collapsed="false">
      <c r="A15" s="29" t="s">
        <v>12</v>
      </c>
    </row>
    <row r="16" customFormat="false" ht="15" hidden="false" customHeight="false" outlineLevel="0" collapsed="false">
      <c r="A16" s="30" t="s">
        <v>13</v>
      </c>
    </row>
    <row r="17" customFormat="false" ht="15" hidden="false" customHeight="false" outlineLevel="0" collapsed="false">
      <c r="A17" s="31" t="s">
        <v>14</v>
      </c>
    </row>
    <row r="19" customFormat="false" ht="30" hidden="false" customHeight="true" outlineLevel="0" collapsed="false">
      <c r="A19" s="32" t="s">
        <v>15</v>
      </c>
    </row>
  </sheetData>
  <printOptions horizontalCentered="1"/>
  <pageMargins left="0.5" right="0.5" top="0.8" bottom="0.75" header="0.3" footer="0.3"/>
  <pageSetup paperSize="9" orientation="portrait" fitToWidth="1" fitToHeight="1"/>
  <headerFooter>
    <oddHeader>&amp;L&amp;8&amp;K1F3A5FCIVILWORKS ATELIER&amp;C&amp;9&amp;BPile Capacity Static Method&amp;R&amp;8&amp;A</oddHeader>
    <oddFooter>&amp;L&amp;7Preliminary / educational — verify against current standards&amp;C&amp;8Page &amp;P of &amp;N&amp;R&amp;7Printed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P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8" min="7" style="0" width="9"/>
    <col collapsed="false" customWidth="true" hidden="false" outlineLevel="0" max="10" min="9" style="0" width="11"/>
    <col collapsed="false" customWidth="true" hidden="false" outlineLevel="0" max="12" min="11" style="0" width="12"/>
    <col collapsed="false" customWidth="true" hidden="false" outlineLevel="0" max="13" min="13" style="0" width="10"/>
    <col collapsed="false" customWidth="true" hidden="false" outlineLevel="0" max="14" min="14" style="0" width="8"/>
    <col collapsed="false" customWidth="true" hidden="false" outlineLevel="0" max="15" min="15" style="0" width="10"/>
    <col collapsed="false" customWidth="true" hidden="false" outlineLevel="0" max="16" min="16" style="0" width="11"/>
  </cols>
  <sheetData>
    <row r="1" customFormat="false" ht="17.35" hidden="false" customHeight="false" outlineLevel="0" collapsed="false">
      <c r="A1" s="1" t="s">
        <v>16</v>
      </c>
    </row>
    <row r="3" customFormat="false" ht="15" hidden="false" customHeight="false" outlineLevel="0" collapsed="false">
      <c r="A3" s="4" t="s">
        <v>17</v>
      </c>
    </row>
    <row r="4" customFormat="false" ht="15" hidden="false" customHeight="false" outlineLevel="0" collapsed="false">
      <c r="A4" s="7" t="s">
        <v>18</v>
      </c>
      <c r="C4" s="9" t="n">
        <v>0.6</v>
      </c>
    </row>
    <row r="5" customFormat="false" ht="15" hidden="false" customHeight="false" outlineLevel="0" collapsed="false">
      <c r="A5" s="7" t="s">
        <v>19</v>
      </c>
      <c r="C5" s="10" t="n">
        <v>1</v>
      </c>
    </row>
    <row r="6" customFormat="false" ht="15" hidden="false" customHeight="false" outlineLevel="0" collapsed="false">
      <c r="A6" s="7" t="s">
        <v>20</v>
      </c>
      <c r="C6" s="11" t="n">
        <v>9.81</v>
      </c>
    </row>
    <row r="7" customFormat="false" ht="15" hidden="false" customHeight="false" outlineLevel="0" collapsed="false">
      <c r="A7" s="7" t="s">
        <v>21</v>
      </c>
      <c r="C7" s="10" t="n">
        <v>2.5</v>
      </c>
    </row>
    <row r="8" customFormat="false" ht="15" hidden="false" customHeight="false" outlineLevel="0" collapsed="false">
      <c r="A8" s="7" t="s">
        <v>22</v>
      </c>
      <c r="C8" s="12" t="n">
        <v>100</v>
      </c>
    </row>
    <row r="9" customFormat="false" ht="15" hidden="false" customHeight="false" outlineLevel="0" collapsed="false">
      <c r="A9" s="7" t="s">
        <v>23</v>
      </c>
      <c r="C9" s="13" t="n">
        <v>10000</v>
      </c>
    </row>
    <row r="11" customFormat="false" ht="15" hidden="false" customHeight="false" outlineLevel="0" collapsed="false">
      <c r="A11" s="4" t="s">
        <v>24</v>
      </c>
    </row>
    <row r="12" customFormat="false" ht="42" hidden="false" customHeight="true" outlineLevel="0" collapsed="false">
      <c r="A12" s="14" t="s">
        <v>25</v>
      </c>
      <c r="B12" s="14" t="s">
        <v>26</v>
      </c>
      <c r="C12" s="14" t="s">
        <v>27</v>
      </c>
      <c r="D12" s="14" t="s">
        <v>28</v>
      </c>
      <c r="E12" s="14" t="s">
        <v>29</v>
      </c>
      <c r="F12" s="14" t="s">
        <v>30</v>
      </c>
      <c r="G12" s="14" t="s">
        <v>31</v>
      </c>
      <c r="H12" s="14" t="s">
        <v>32</v>
      </c>
      <c r="I12" s="14" t="s">
        <v>33</v>
      </c>
      <c r="J12" s="14" t="s">
        <v>34</v>
      </c>
      <c r="K12" s="14" t="s">
        <v>35</v>
      </c>
      <c r="L12" s="14" t="s">
        <v>36</v>
      </c>
      <c r="M12" s="14" t="s">
        <v>37</v>
      </c>
      <c r="N12" s="14" t="s">
        <v>38</v>
      </c>
      <c r="O12" s="14" t="s">
        <v>39</v>
      </c>
      <c r="P12" s="14" t="s">
        <v>40</v>
      </c>
    </row>
    <row r="13" customFormat="false" ht="15" hidden="false" customHeight="false" outlineLevel="0" collapsed="false">
      <c r="A13" s="7" t="n">
        <v>1</v>
      </c>
      <c r="B13" s="15" t="n">
        <v>0</v>
      </c>
      <c r="C13" s="15" t="n">
        <v>3</v>
      </c>
      <c r="D13" s="15" t="s">
        <v>41</v>
      </c>
      <c r="E13" s="15" t="n">
        <v>17</v>
      </c>
      <c r="F13" s="16"/>
      <c r="G13" s="15" t="n">
        <v>0.25</v>
      </c>
      <c r="H13" s="15" t="n">
        <v>8</v>
      </c>
      <c r="I13" s="17" t="n">
        <f aca="false">IF(OR(B13="",C13=""),0,C13-B13)</f>
        <v>3</v>
      </c>
      <c r="J13" s="18" t="n">
        <f aca="false">IF(I13=0,"",0)</f>
        <v>0</v>
      </c>
      <c r="K13" s="18" t="n">
        <f aca="false">IF(I13=0,"",J13+E13*I13)</f>
        <v>51</v>
      </c>
      <c r="L13" s="18" t="n">
        <f aca="false">IF(I13=0,"",J13+E13*I13/2-$C$6*MAX(0,(B13+C13)/2-$C$5))</f>
        <v>20.595</v>
      </c>
      <c r="M13" s="17" t="str">
        <f aca="false">IF(AND(I13&gt;0,D13="Clay"),F13/L13,"")</f>
        <v/>
      </c>
      <c r="N13" s="17" t="str">
        <f aca="false">IF(M13="","",MIN(1,IF(M13&lt;=1,0.5*M13^-0.5,0.5*M13^-0.25)))</f>
        <v/>
      </c>
      <c r="O13" s="18" t="n">
        <f aca="false">IF(I13=0,"",IF(D13="Clay",N13*F13,MIN($C$8,G13*L13)))</f>
        <v>5.14875</v>
      </c>
      <c r="P13" s="19" t="n">
        <f aca="false">IF(I13=0,0,O13*PI()*$C$4*I13)</f>
        <v>29.1154953153068</v>
      </c>
    </row>
    <row r="14" customFormat="false" ht="15" hidden="false" customHeight="false" outlineLevel="0" collapsed="false">
      <c r="A14" s="7" t="n">
        <v>2</v>
      </c>
      <c r="B14" s="15" t="n">
        <v>3</v>
      </c>
      <c r="C14" s="15" t="n">
        <v>11</v>
      </c>
      <c r="D14" s="15" t="s">
        <v>42</v>
      </c>
      <c r="E14" s="15" t="n">
        <v>16.5</v>
      </c>
      <c r="F14" s="15" t="n">
        <v>20</v>
      </c>
      <c r="G14" s="16"/>
      <c r="H14" s="16"/>
      <c r="I14" s="17" t="n">
        <f aca="false">IF(OR(B14="",C14=""),0,C14-B14)</f>
        <v>8</v>
      </c>
      <c r="J14" s="18" t="n">
        <f aca="false">IF(I14=0,"",K13)</f>
        <v>51</v>
      </c>
      <c r="K14" s="18" t="n">
        <f aca="false">IF(I14=0,"",J14+E14*I14)</f>
        <v>183</v>
      </c>
      <c r="L14" s="18" t="n">
        <f aca="false">IF(I14=0,"",J14+E14*I14/2-$C$6*MAX(0,(B14+C14)/2-$C$5))</f>
        <v>58.14</v>
      </c>
      <c r="M14" s="17" t="n">
        <f aca="false">IF(AND(I14&gt;0,D14="Clay"),F14/L14,"")</f>
        <v>0.343997248022016</v>
      </c>
      <c r="N14" s="17" t="n">
        <f aca="false">IF(M14="","",MIN(1,IF(M14&lt;=1,0.5*M14^-0.5,0.5*M14^-0.25)))</f>
        <v>0.852496334302969</v>
      </c>
      <c r="O14" s="18" t="n">
        <f aca="false">IF(I14=0,"",IF(D14="Clay",N14*F14,MIN($C$8,G14*L14)))</f>
        <v>17.0499266860594</v>
      </c>
      <c r="P14" s="19" t="n">
        <f aca="false">IF(I14=0,0,O14*PI()*$C$4*I14)</f>
        <v>257.10683722161</v>
      </c>
    </row>
    <row r="15" customFormat="false" ht="15" hidden="false" customHeight="false" outlineLevel="0" collapsed="false">
      <c r="A15" s="7" t="n">
        <v>3</v>
      </c>
      <c r="B15" s="15" t="n">
        <v>11</v>
      </c>
      <c r="C15" s="15" t="n">
        <v>17</v>
      </c>
      <c r="D15" s="15" t="s">
        <v>41</v>
      </c>
      <c r="E15" s="15" t="n">
        <v>18</v>
      </c>
      <c r="F15" s="16"/>
      <c r="G15" s="15" t="n">
        <v>0.3</v>
      </c>
      <c r="H15" s="15" t="n">
        <v>15</v>
      </c>
      <c r="I15" s="17" t="n">
        <f aca="false">IF(OR(B15="",C15=""),0,C15-B15)</f>
        <v>6</v>
      </c>
      <c r="J15" s="18" t="n">
        <f aca="false">IF(I15=0,"",K14)</f>
        <v>183</v>
      </c>
      <c r="K15" s="18" t="n">
        <f aca="false">IF(I15=0,"",J15+E15*I15)</f>
        <v>291</v>
      </c>
      <c r="L15" s="18" t="n">
        <f aca="false">IF(I15=0,"",J15+E15*I15/2-$C$6*MAX(0,(B15+C15)/2-$C$5))</f>
        <v>109.47</v>
      </c>
      <c r="M15" s="17" t="str">
        <f aca="false">IF(AND(I15&gt;0,D15="Clay"),F15/L15,"")</f>
        <v/>
      </c>
      <c r="N15" s="17" t="str">
        <f aca="false">IF(M15="","",MIN(1,IF(M15&lt;=1,0.5*M15^-0.5,0.5*M15^-0.25)))</f>
        <v/>
      </c>
      <c r="O15" s="18" t="n">
        <f aca="false">IF(I15=0,"",IF(D15="Clay",N15*F15,MIN($C$8,G15*L15)))</f>
        <v>32.841</v>
      </c>
      <c r="P15" s="19" t="n">
        <f aca="false">IF(I15=0,0,O15*PI()*$C$4*I15)</f>
        <v>371.422959611553</v>
      </c>
    </row>
    <row r="16" customFormat="false" ht="15" hidden="false" customHeight="false" outlineLevel="0" collapsed="false">
      <c r="A16" s="7" t="n">
        <v>4</v>
      </c>
      <c r="B16" s="15" t="n">
        <v>17</v>
      </c>
      <c r="C16" s="15" t="n">
        <v>24</v>
      </c>
      <c r="D16" s="15" t="s">
        <v>41</v>
      </c>
      <c r="E16" s="15" t="n">
        <v>19</v>
      </c>
      <c r="F16" s="16"/>
      <c r="G16" s="15" t="n">
        <v>0.35</v>
      </c>
      <c r="H16" s="15" t="n">
        <v>25</v>
      </c>
      <c r="I16" s="17" t="n">
        <f aca="false">IF(OR(B16="",C16=""),0,C16-B16)</f>
        <v>7</v>
      </c>
      <c r="J16" s="18" t="n">
        <f aca="false">IF(I16=0,"",K15)</f>
        <v>291</v>
      </c>
      <c r="K16" s="18" t="n">
        <f aca="false">IF(I16=0,"",J16+E16*I16)</f>
        <v>424</v>
      </c>
      <c r="L16" s="18" t="n">
        <f aca="false">IF(I16=0,"",J16+E16*I16/2-$C$6*MAX(0,(B16+C16)/2-$C$5))</f>
        <v>166.205</v>
      </c>
      <c r="M16" s="17" t="str">
        <f aca="false">IF(AND(I16&gt;0,D16="Clay"),F16/L16,"")</f>
        <v/>
      </c>
      <c r="N16" s="17" t="str">
        <f aca="false">IF(M16="","",MIN(1,IF(M16&lt;=1,0.5*M16^-0.5,0.5*M16^-0.25)))</f>
        <v/>
      </c>
      <c r="O16" s="18" t="n">
        <f aca="false">IF(I16=0,"",IF(D16="Clay",N16*F16,MIN($C$8,G16*L16)))</f>
        <v>58.17175</v>
      </c>
      <c r="P16" s="19" t="n">
        <f aca="false">IF(I16=0,0,O16*PI()*$C$4*I16)</f>
        <v>767.55815827514</v>
      </c>
    </row>
    <row r="17" customFormat="false" ht="15" hidden="false" customHeight="false" outlineLevel="0" collapsed="false">
      <c r="A17" s="7" t="n">
        <v>5</v>
      </c>
      <c r="B17" s="15" t="n">
        <v>24</v>
      </c>
      <c r="C17" s="15" t="n">
        <v>30</v>
      </c>
      <c r="D17" s="15" t="s">
        <v>41</v>
      </c>
      <c r="E17" s="15" t="n">
        <v>19.5</v>
      </c>
      <c r="F17" s="16"/>
      <c r="G17" s="15" t="n">
        <v>0.4</v>
      </c>
      <c r="H17" s="15" t="n">
        <v>40</v>
      </c>
      <c r="I17" s="17" t="n">
        <f aca="false">IF(OR(B17="",C17=""),0,C17-B17)</f>
        <v>6</v>
      </c>
      <c r="J17" s="18" t="n">
        <f aca="false">IF(I17=0,"",K16)</f>
        <v>424</v>
      </c>
      <c r="K17" s="18" t="n">
        <f aca="false">IF(I17=0,"",J17+E17*I17)</f>
        <v>541</v>
      </c>
      <c r="L17" s="18" t="n">
        <f aca="false">IF(I17=0,"",J17+E17*I17/2-$C$6*MAX(0,(B17+C17)/2-$C$5))</f>
        <v>227.44</v>
      </c>
      <c r="M17" s="17" t="str">
        <f aca="false">IF(AND(I17&gt;0,D17="Clay"),F17/L17,"")</f>
        <v/>
      </c>
      <c r="N17" s="17" t="str">
        <f aca="false">IF(M17="","",MIN(1,IF(M17&lt;=1,0.5*M17^-0.5,0.5*M17^-0.25)))</f>
        <v/>
      </c>
      <c r="O17" s="18" t="n">
        <f aca="false">IF(I17=0,"",IF(D17="Clay",N17*F17,MIN($C$8,G17*L17)))</f>
        <v>90.976</v>
      </c>
      <c r="P17" s="19" t="n">
        <f aca="false">IF(I17=0,0,O17*PI()*$C$4*I17)</f>
        <v>1028.91431971075</v>
      </c>
    </row>
    <row r="18" customFormat="false" ht="15" hidden="false" customHeight="false" outlineLevel="0" collapsed="false">
      <c r="A18" s="7" t="n">
        <v>6</v>
      </c>
      <c r="B18" s="15"/>
      <c r="C18" s="15"/>
      <c r="D18" s="15"/>
      <c r="E18" s="15"/>
      <c r="F18" s="15"/>
      <c r="G18" s="15"/>
      <c r="H18" s="15"/>
      <c r="I18" s="17" t="n">
        <f aca="false">IF(OR(B18="",C18=""),0,C18-B18)</f>
        <v>0</v>
      </c>
      <c r="J18" s="18" t="str">
        <f aca="false">IF(I18=0,"",K17)</f>
        <v/>
      </c>
      <c r="K18" s="18" t="str">
        <f aca="false">IF(I18=0,"",J18+E18*I18)</f>
        <v/>
      </c>
      <c r="L18" s="18" t="str">
        <f aca="false">IF(I18=0,"",J18+E18*I18/2-$C$6*MAX(0,(B18+C18)/2-$C$5))</f>
        <v/>
      </c>
      <c r="M18" s="17" t="str">
        <f aca="false">IF(AND(I18&gt;0,D18="Clay"),F18/L18,"")</f>
        <v/>
      </c>
      <c r="N18" s="17" t="str">
        <f aca="false">IF(M18="","",MIN(1,IF(M18&lt;=1,0.5*M18^-0.5,0.5*M18^-0.25)))</f>
        <v/>
      </c>
      <c r="O18" s="18" t="str">
        <f aca="false">IF(I18=0,"",IF(D18="Clay",N18*F18,MIN($C$8,G18*L18)))</f>
        <v/>
      </c>
      <c r="P18" s="19" t="n">
        <f aca="false">IF(I18=0,0,O18*PI()*$C$4*I18)</f>
        <v>0</v>
      </c>
    </row>
    <row r="19" customFormat="false" ht="15" hidden="false" customHeight="false" outlineLevel="0" collapsed="false">
      <c r="A19" s="7" t="n">
        <v>7</v>
      </c>
      <c r="B19" s="15"/>
      <c r="C19" s="15"/>
      <c r="D19" s="15"/>
      <c r="E19" s="15"/>
      <c r="F19" s="15"/>
      <c r="G19" s="15"/>
      <c r="H19" s="15"/>
      <c r="I19" s="17" t="n">
        <f aca="false">IF(OR(B19="",C19=""),0,C19-B19)</f>
        <v>0</v>
      </c>
      <c r="J19" s="18" t="str">
        <f aca="false">IF(I19=0,"",K18)</f>
        <v/>
      </c>
      <c r="K19" s="18" t="str">
        <f aca="false">IF(I19=0,"",J19+E19*I19)</f>
        <v/>
      </c>
      <c r="L19" s="18" t="str">
        <f aca="false">IF(I19=0,"",J19+E19*I19/2-$C$6*MAX(0,(B19+C19)/2-$C$5))</f>
        <v/>
      </c>
      <c r="M19" s="17" t="str">
        <f aca="false">IF(AND(I19&gt;0,D19="Clay"),F19/L19,"")</f>
        <v/>
      </c>
      <c r="N19" s="17" t="str">
        <f aca="false">IF(M19="","",MIN(1,IF(M19&lt;=1,0.5*M19^-0.5,0.5*M19^-0.25)))</f>
        <v/>
      </c>
      <c r="O19" s="18" t="str">
        <f aca="false">IF(I19=0,"",IF(D19="Clay",N19*F19,MIN($C$8,G19*L19)))</f>
        <v/>
      </c>
      <c r="P19" s="19" t="n">
        <f aca="false">IF(I19=0,0,O19*PI()*$C$4*I19)</f>
        <v>0</v>
      </c>
    </row>
    <row r="20" customFormat="false" ht="15" hidden="false" customHeight="false" outlineLevel="0" collapsed="false">
      <c r="A20" s="7" t="n">
        <v>8</v>
      </c>
      <c r="B20" s="15"/>
      <c r="C20" s="15"/>
      <c r="D20" s="15"/>
      <c r="E20" s="15"/>
      <c r="F20" s="15"/>
      <c r="G20" s="15"/>
      <c r="H20" s="15"/>
      <c r="I20" s="17" t="n">
        <f aca="false">IF(OR(B20="",C20=""),0,C20-B20)</f>
        <v>0</v>
      </c>
      <c r="J20" s="18" t="str">
        <f aca="false">IF(I20=0,"",K19)</f>
        <v/>
      </c>
      <c r="K20" s="18" t="str">
        <f aca="false">IF(I20=0,"",J20+E20*I20)</f>
        <v/>
      </c>
      <c r="L20" s="18" t="str">
        <f aca="false">IF(I20=0,"",J20+E20*I20/2-$C$6*MAX(0,(B20+C20)/2-$C$5))</f>
        <v/>
      </c>
      <c r="M20" s="17" t="str">
        <f aca="false">IF(AND(I20&gt;0,D20="Clay"),F20/L20,"")</f>
        <v/>
      </c>
      <c r="N20" s="17" t="str">
        <f aca="false">IF(M20="","",MIN(1,IF(M20&lt;=1,0.5*M20^-0.5,0.5*M20^-0.25)))</f>
        <v/>
      </c>
      <c r="O20" s="18" t="str">
        <f aca="false">IF(I20=0,"",IF(D20="Clay",N20*F20,MIN($C$8,G20*L20)))</f>
        <v/>
      </c>
      <c r="P20" s="19" t="n">
        <f aca="false">IF(I20=0,0,O20*PI()*$C$4*I20)</f>
        <v>0</v>
      </c>
    </row>
    <row r="23" customFormat="false" ht="15" hidden="false" customHeight="false" outlineLevel="0" collapsed="false">
      <c r="A23" s="4" t="s">
        <v>43</v>
      </c>
    </row>
    <row r="24" customFormat="false" ht="15" hidden="false" customHeight="false" outlineLevel="0" collapsed="false">
      <c r="A24" s="7" t="s">
        <v>44</v>
      </c>
      <c r="C24" s="18" t="n">
        <f aca="false">MAX(C13:C20)</f>
        <v>30</v>
      </c>
    </row>
    <row r="25" customFormat="false" ht="15" hidden="false" customHeight="false" outlineLevel="0" collapsed="false">
      <c r="A25" s="7" t="s">
        <v>45</v>
      </c>
      <c r="C25" s="20" t="n">
        <f aca="false">MATCH(C24,C13:C20,0)</f>
        <v>5</v>
      </c>
    </row>
    <row r="26" customFormat="false" ht="15" hidden="false" customHeight="false" outlineLevel="0" collapsed="false">
      <c r="A26" s="7" t="s">
        <v>46</v>
      </c>
      <c r="C26" s="21" t="str">
        <f aca="false">INDEX(D13:D20,C25)</f>
        <v>Sand</v>
      </c>
    </row>
    <row r="27" customFormat="false" ht="15" hidden="false" customHeight="false" outlineLevel="0" collapsed="false">
      <c r="A27" s="7" t="s">
        <v>47</v>
      </c>
      <c r="C27" s="18" t="n">
        <f aca="false">INDEX(K13:K20,C25)-C6*MAX(0,C24-C5)</f>
        <v>256.51</v>
      </c>
    </row>
    <row r="28" customFormat="false" ht="15" hidden="false" customHeight="false" outlineLevel="0" collapsed="false">
      <c r="A28" s="7" t="s">
        <v>48</v>
      </c>
      <c r="C28" s="22" t="n">
        <f aca="false">PI()*C4^2/4</f>
        <v>0.282743338823081</v>
      </c>
    </row>
    <row r="29" customFormat="false" ht="15" hidden="false" customHeight="false" outlineLevel="0" collapsed="false">
      <c r="A29" s="7" t="s">
        <v>49</v>
      </c>
      <c r="C29" s="19" t="n">
        <f aca="false">IF(C26="Clay",9*INDEX(F13:F20,C25),MIN(C9,INDEX(H13:H20,C25)*C27))</f>
        <v>10000</v>
      </c>
    </row>
    <row r="30" customFormat="false" ht="15" hidden="false" customHeight="false" outlineLevel="0" collapsed="false">
      <c r="A30" s="7" t="s">
        <v>50</v>
      </c>
      <c r="C30" s="19" t="n">
        <f aca="false">SUM(P13:P20)</f>
        <v>2454.11777013436</v>
      </c>
    </row>
    <row r="31" customFormat="false" ht="15" hidden="false" customHeight="false" outlineLevel="0" collapsed="false">
      <c r="A31" s="7" t="s">
        <v>51</v>
      </c>
      <c r="C31" s="19" t="n">
        <f aca="false">C29*C28</f>
        <v>2827.43338823081</v>
      </c>
    </row>
    <row r="32" customFormat="false" ht="15" hidden="false" customHeight="false" outlineLevel="0" collapsed="false">
      <c r="A32" s="4" t="s">
        <v>52</v>
      </c>
      <c r="C32" s="23" t="n">
        <f aca="false">C30+C31</f>
        <v>5281.55115836517</v>
      </c>
    </row>
    <row r="33" customFormat="false" ht="15" hidden="false" customHeight="false" outlineLevel="0" collapsed="false">
      <c r="A33" s="4" t="s">
        <v>53</v>
      </c>
      <c r="C33" s="23" t="n">
        <f aca="false">C32/C7</f>
        <v>2112.62046334607</v>
      </c>
    </row>
    <row r="34" customFormat="false" ht="15" hidden="false" customHeight="false" outlineLevel="0" collapsed="false">
      <c r="A34" s="7" t="s">
        <v>54</v>
      </c>
      <c r="C34" s="24" t="n">
        <f aca="false">C30/C32</f>
        <v>0.464658524844052</v>
      </c>
    </row>
  </sheetData>
  <dataValidations count="1">
    <dataValidation allowBlank="true" errorStyle="stop" operator="between" showDropDown="false" showErrorMessage="false" showInputMessage="false" sqref="D13:D20" type="list">
      <formula1>"Clay,Sand"</formula1>
      <formula2>0</formula2>
    </dataValidation>
  </dataValidations>
  <printOptions horizontalCentered="1"/>
  <pageMargins left="0.5" right="0.5" top="0.8" bottom="0.75" header="0.3" footer="0.3"/>
  <pageSetup paperSize="9" orientation="landscape" fitToWidth="1" fitToHeight="1"/>
  <headerFooter>
    <oddHeader>&amp;L&amp;8&amp;K1F3A5FCIVILWORKS ATELIER&amp;C&amp;9&amp;BPile Capacity Static Method&amp;R&amp;8&amp;A</oddHeader>
    <oddFooter>&amp;L&amp;7Preliminary / educational — verify against current standards&amp;C&amp;8Page &amp;P of &amp;N&amp;R&amp;7Printed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2026-10-12T13:06:22Z</dcterms:created>
  <dc:creator>openpyxl</dc:creator>
  <dc:description/>
  <dc:language>en-US</dc:language>
  <cp:lastModifiedBy/>
  <dcterms:modified xsi:type="dcterms:W3CDTF">2026-10-12T13:06:22Z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